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10" activeTab="0"/>
  </bookViews>
  <sheets>
    <sheet name="DURACION" sheetId="1" r:id="rId1"/>
    <sheet name="PRINCIPIOS" sheetId="2" r:id="rId2"/>
    <sheet name="GRAFICOS" sheetId="3" r:id="rId3"/>
    <sheet name="SPOT-FORW." sheetId="4" r:id="rId4"/>
    <sheet name="MODELO BONOS" sheetId="5" r:id="rId5"/>
  </sheets>
  <definedNames>
    <definedName name="_xlnm.Print_Area" localSheetId="3">'SPOT-FORW.'!$B$63:$I$87</definedName>
    <definedName name="solver_adj" localSheetId="4" hidden="1">'MODELO BONOS'!$H$29:$H$31</definedName>
    <definedName name="solver_cvg" localSheetId="4" hidden="1">0.001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'MODELO BONOS'!$G$36</definedName>
    <definedName name="solver_lhs2" localSheetId="4" hidden="1">'MODELO BONOS'!$G$38</definedName>
    <definedName name="solver_lhs3" localSheetId="4" hidden="1">'MODELO BONOS'!$H$29:$H$31</definedName>
    <definedName name="solver_lin" localSheetId="4" hidden="1">0</definedName>
    <definedName name="solver_neg" localSheetId="4" hidden="1">2</definedName>
    <definedName name="solver_num" localSheetId="4" hidden="1">3</definedName>
    <definedName name="solver_nwt" localSheetId="4" hidden="1">1</definedName>
    <definedName name="solver_opt" localSheetId="4" hidden="1">'MODELO BONOS'!$H$34</definedName>
    <definedName name="solver_pre" localSheetId="4" hidden="1">0.000001</definedName>
    <definedName name="solver_rel1" localSheetId="4" hidden="1">2</definedName>
    <definedName name="solver_rel2" localSheetId="4" hidden="1">2</definedName>
    <definedName name="solver_rel3" localSheetId="4" hidden="1">3</definedName>
    <definedName name="solver_rhs1" localSheetId="4" hidden="1">'MODELO BONOS'!$H$36</definedName>
    <definedName name="solver_rhs2" localSheetId="4" hidden="1">'MODELO BONOS'!$H$38</definedName>
    <definedName name="solver_rhs3" localSheetId="4" hidden="1">0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<sst xmlns="http://schemas.openxmlformats.org/spreadsheetml/2006/main" count="223" uniqueCount="114">
  <si>
    <t>GENERAL ELEC. CAP. CORP. MTN BE ( 1 )</t>
  </si>
  <si>
    <t>PERIODO</t>
  </si>
  <si>
    <t>CUPON</t>
  </si>
  <si>
    <t>PAGO</t>
  </si>
  <si>
    <t>VALOR COMPRA</t>
  </si>
  <si>
    <t>DURACION</t>
  </si>
  <si>
    <t>YIELD</t>
  </si>
  <si>
    <t>VLR. NOM.</t>
  </si>
  <si>
    <t>para garantizar una rentabilidad del 2.557% semestral</t>
  </si>
  <si>
    <t>NOTAS:</t>
  </si>
  <si>
    <t>Tanto el cupon como el yield estan dados en ASV.</t>
  </si>
  <si>
    <t>Yield= yld to mat / 2 = 5.114/2 = 2.557</t>
  </si>
  <si>
    <t>Cupon= Coupon / 2 = 5.650/2 = 2.825</t>
  </si>
  <si>
    <t>WORLDCOM INC. GA. ( 2 )</t>
  </si>
  <si>
    <t>para garantizar una rentabilidad del 2.640% semestral</t>
  </si>
  <si>
    <t>Yield= yld to mat / 2 = 5.280/2 = 2.64</t>
  </si>
  <si>
    <t>Cupon= coupon/2 = 6.125/2 = 3.0625</t>
  </si>
  <si>
    <t>ASSOCIATES CORP. NORTH AMER. ( 3 )</t>
  </si>
  <si>
    <t>VLR.NOM.</t>
  </si>
  <si>
    <t>para garantizar una rentabilidad del 2.647% semestral</t>
  </si>
  <si>
    <t>Yield= yld to mat / 2 = 5.294/2 = 2.647</t>
  </si>
  <si>
    <t>Cupon= coupon/2 = 6.700/2 = 3.350</t>
  </si>
  <si>
    <t>Principio 1:</t>
  </si>
  <si>
    <t>El precio de los bonos se mueve en forma inversa</t>
  </si>
  <si>
    <t>a las tasas de interés.</t>
  </si>
  <si>
    <t>VAN</t>
  </si>
  <si>
    <t>Cupo</t>
  </si>
  <si>
    <t>Yield</t>
  </si>
  <si>
    <t>Semestres</t>
  </si>
  <si>
    <t>Bono 1</t>
  </si>
  <si>
    <t>Bono 2</t>
  </si>
  <si>
    <t>Bono 3</t>
  </si>
  <si>
    <t>Principio 2:</t>
  </si>
  <si>
    <t>Mientras mas lejos se encuentre el vencimiento de un bono,</t>
  </si>
  <si>
    <t xml:space="preserve">mas sensible es su precio a un cambio en las tasas de </t>
  </si>
  <si>
    <t>interés, si los demás factores se mantienen constantes.</t>
  </si>
  <si>
    <t>Nota: Cupon del 3.21 para ambos bonos con el fin de poder</t>
  </si>
  <si>
    <t xml:space="preserve">          ilustrar el principio.</t>
  </si>
  <si>
    <t>Tasas interés</t>
  </si>
  <si>
    <t>% cambio en $</t>
  </si>
  <si>
    <t>Principio 3:</t>
  </si>
  <si>
    <t>La sensibilidad del precio de un bono aumenta con el</t>
  </si>
  <si>
    <t>Vencimiento, pero a una tasa decreciente.</t>
  </si>
  <si>
    <t>Nota: Para el bono 1 se considerara un n de 5, para el 2 de 6 y para el 3 de 7 para poder</t>
  </si>
  <si>
    <t>ilustrar el principio. Cupon de 3.21 para los tres bonos.</t>
  </si>
  <si>
    <t>Cambio $ (%)</t>
  </si>
  <si>
    <t>Diferencia en D</t>
  </si>
  <si>
    <t>Principio 4:</t>
  </si>
  <si>
    <t>Mientras mas baja la tasa de cupón, mas sensible</t>
  </si>
  <si>
    <t>es su precio a un cambio en tasas de interés, manteniendo</t>
  </si>
  <si>
    <t>los demás factores constantes, excepto para las perpetuidades.</t>
  </si>
  <si>
    <t>Cambio en $</t>
  </si>
  <si>
    <t>Principio 5:</t>
  </si>
  <si>
    <t>Para un determinado bono, la ganancia de capital ocasionada</t>
  </si>
  <si>
    <t>por una disminución en rendimiento es mayor en magnitud que</t>
  </si>
  <si>
    <t>la perdida de capital ocasionada por un aumento en rendimiento</t>
  </si>
  <si>
    <t>de igual magnitud.</t>
  </si>
  <si>
    <t>Cambio $</t>
  </si>
  <si>
    <t>GENERAL ELECT.</t>
  </si>
  <si>
    <t>WORLDCOM</t>
  </si>
  <si>
    <t>ASSOCIATES</t>
  </si>
  <si>
    <t>PORTAFOLIO</t>
  </si>
  <si>
    <t>GENERAL ELEC</t>
  </si>
  <si>
    <t>ESTRUCTURA BÁSICA DE LA TBS PARA GENERAL ELEC</t>
  </si>
  <si>
    <t>Período</t>
  </si>
  <si>
    <t>T. Spot TBS</t>
  </si>
  <si>
    <t>Inflación</t>
  </si>
  <si>
    <t>Tasa interes EA</t>
  </si>
  <si>
    <t>S.V</t>
  </si>
  <si>
    <t>T.Forward</t>
  </si>
  <si>
    <t>0-180</t>
  </si>
  <si>
    <t>0-360</t>
  </si>
  <si>
    <t>&gt; 360</t>
  </si>
  <si>
    <t>Períodos</t>
  </si>
  <si>
    <t>T. Forward</t>
  </si>
  <si>
    <t>f.f</t>
  </si>
  <si>
    <t>VPN (TIR)</t>
  </si>
  <si>
    <t>Wi</t>
  </si>
  <si>
    <t>Ti</t>
  </si>
  <si>
    <t>Duración</t>
  </si>
  <si>
    <t>Convexidad</t>
  </si>
  <si>
    <t>VPN</t>
  </si>
  <si>
    <t xml:space="preserve">TIR </t>
  </si>
  <si>
    <t>Durac. Mod.</t>
  </si>
  <si>
    <t>RCYTM</t>
  </si>
  <si>
    <t>ESTRUCTURA BÁSICA DE LA TBS PARA WORLDCOM</t>
  </si>
  <si>
    <t>ESTRUCTURA BÁSICA DE LA TBS PARA ASSOCIATES</t>
  </si>
  <si>
    <t xml:space="preserve">EMISOR </t>
  </si>
  <si>
    <t>VALOR NOM</t>
  </si>
  <si>
    <t>FECHA EMISION</t>
  </si>
  <si>
    <t>FECHA VENC</t>
  </si>
  <si>
    <t>FORMA PAGO</t>
  </si>
  <si>
    <t>CUPON (S.V) %</t>
  </si>
  <si>
    <t>ASV</t>
  </si>
  <si>
    <t>SOLVER</t>
  </si>
  <si>
    <t>BONO</t>
  </si>
  <si>
    <t>RENDIMIENTOS</t>
  </si>
  <si>
    <t>PESO (%)</t>
  </si>
  <si>
    <t>RENDIMIENTO DEL PORTAFOLIO</t>
  </si>
  <si>
    <t>RESTRICCIÒN DURACIÒN</t>
  </si>
  <si>
    <t>SUMA DE %</t>
  </si>
  <si>
    <t>NOTA: La restriccion de duracion se puede poner a variar con el fin de encontrar varias respuestas.</t>
  </si>
  <si>
    <t xml:space="preserve">                                          En este caso y cumpliendo con los rangos de duracion dados por los tres bonos, encuentro </t>
  </si>
  <si>
    <t xml:space="preserve">                                         que 7 semestres es una buena duracion para este portafolio( Worldcom 10.86% y Associates 89.14%)</t>
  </si>
  <si>
    <t>cupón</t>
  </si>
  <si>
    <t>yield</t>
  </si>
  <si>
    <t>cupon</t>
  </si>
  <si>
    <t>por excel</t>
  </si>
  <si>
    <t>El bono se debe mantener durante 7.2 peridos y luego venderlo,</t>
  </si>
  <si>
    <t>El bono se debe mantener durante 5.6 periodos y luego venderlo,</t>
  </si>
  <si>
    <t>El bono se debe mantener durante 5.6 periodos  y luego venderlo,</t>
  </si>
  <si>
    <t>www.gacetafinanciera.com</t>
  </si>
  <si>
    <t>Los periodos son tres años, osea 6 semestres (2006 - 2009)</t>
  </si>
  <si>
    <t>Los periodos son cuatro años, osea 8 semestres (2006 - 2010)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</si>
</sst>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#,##0.0"/>
    <numFmt numFmtId="179" formatCode="#,##0.0_);[Red]\(#,##0.0\)"/>
    <numFmt numFmtId="180" formatCode="#,##0.000"/>
    <numFmt numFmtId="181" formatCode="#,##0.000_);[Red]\(#,##0.000\)"/>
    <numFmt numFmtId="182" formatCode="0.000"/>
    <numFmt numFmtId="183" formatCode="0.0000000"/>
    <numFmt numFmtId="184" formatCode="0.000000"/>
    <numFmt numFmtId="185" formatCode="0.00000"/>
    <numFmt numFmtId="186" formatCode="0.0000"/>
    <numFmt numFmtId="187" formatCode="0.0%"/>
    <numFmt numFmtId="188" formatCode="_(* #,##0.000_);_(* \(#,##0.000\);_(* &quot;-&quot;??_);_(@_)"/>
    <numFmt numFmtId="189" formatCode="0.000%"/>
    <numFmt numFmtId="190" formatCode="0.0000000000"/>
    <numFmt numFmtId="191" formatCode="0.000000000"/>
    <numFmt numFmtId="192" formatCode="0.00000000"/>
    <numFmt numFmtId="193" formatCode="0.0"/>
  </numFmts>
  <fonts count="55">
    <font>
      <sz val="10"/>
      <name val="Arial"/>
      <family val="0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/>
    </xf>
    <xf numFmtId="9" fontId="5" fillId="0" borderId="0" xfId="53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left"/>
    </xf>
    <xf numFmtId="3" fontId="4" fillId="0" borderId="14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/>
    </xf>
    <xf numFmtId="181" fontId="0" fillId="0" borderId="14" xfId="0" applyNumberFormat="1" applyBorder="1" applyAlignment="1">
      <alignment horizontal="center"/>
    </xf>
    <xf numFmtId="181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6" fillId="0" borderId="20" xfId="0" applyFont="1" applyBorder="1" applyAlignment="1">
      <alignment horizontal="left"/>
    </xf>
    <xf numFmtId="3" fontId="6" fillId="0" borderId="20" xfId="0" applyNumberFormat="1" applyFont="1" applyBorder="1" applyAlignment="1">
      <alignment horizontal="center"/>
    </xf>
    <xf numFmtId="15" fontId="6" fillId="0" borderId="20" xfId="0" applyNumberFormat="1" applyFont="1" applyBorder="1" applyAlignment="1">
      <alignment horizontal="center"/>
    </xf>
    <xf numFmtId="182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5" fillId="0" borderId="21" xfId="0" applyFont="1" applyBorder="1" applyAlignment="1">
      <alignment/>
    </xf>
    <xf numFmtId="10" fontId="1" fillId="0" borderId="22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10" fontId="5" fillId="0" borderId="25" xfId="0" applyNumberFormat="1" applyFont="1" applyBorder="1" applyAlignment="1">
      <alignment/>
    </xf>
    <xf numFmtId="9" fontId="5" fillId="0" borderId="26" xfId="53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0" fontId="4" fillId="0" borderId="20" xfId="53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0" fontId="4" fillId="0" borderId="28" xfId="53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10" fontId="4" fillId="0" borderId="29" xfId="53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0" fontId="4" fillId="0" borderId="31" xfId="53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0" fontId="4" fillId="0" borderId="33" xfId="53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10" fontId="4" fillId="0" borderId="34" xfId="53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center"/>
    </xf>
    <xf numFmtId="186" fontId="8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8" fillId="0" borderId="0" xfId="47" applyNumberFormat="1" applyFont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89" fontId="4" fillId="0" borderId="28" xfId="53" applyNumberFormat="1" applyFont="1" applyBorder="1" applyAlignment="1">
      <alignment horizontal="center"/>
    </xf>
    <xf numFmtId="189" fontId="4" fillId="0" borderId="20" xfId="53" applyNumberFormat="1" applyFont="1" applyBorder="1" applyAlignment="1">
      <alignment horizontal="center"/>
    </xf>
    <xf numFmtId="189" fontId="4" fillId="0" borderId="33" xfId="53" applyNumberFormat="1" applyFont="1" applyBorder="1" applyAlignment="1">
      <alignment horizontal="center"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1" fillId="0" borderId="37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8" fillId="0" borderId="21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2" fontId="8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4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82" fontId="8" fillId="0" borderId="10" xfId="0" applyNumberFormat="1" applyFont="1" applyBorder="1" applyAlignment="1">
      <alignment/>
    </xf>
    <xf numFmtId="186" fontId="8" fillId="0" borderId="10" xfId="0" applyNumberFormat="1" applyFont="1" applyBorder="1" applyAlignment="1">
      <alignment/>
    </xf>
    <xf numFmtId="0" fontId="8" fillId="0" borderId="35" xfId="0" applyFont="1" applyBorder="1" applyAlignment="1">
      <alignment/>
    </xf>
    <xf numFmtId="2" fontId="8" fillId="0" borderId="36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21" xfId="0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41" xfId="0" applyFont="1" applyBorder="1" applyAlignment="1">
      <alignment/>
    </xf>
    <xf numFmtId="2" fontId="8" fillId="0" borderId="42" xfId="0" applyNumberFormat="1" applyFont="1" applyBorder="1" applyAlignment="1">
      <alignment/>
    </xf>
    <xf numFmtId="0" fontId="8" fillId="0" borderId="42" xfId="0" applyFont="1" applyBorder="1" applyAlignment="1">
      <alignment/>
    </xf>
    <xf numFmtId="182" fontId="8" fillId="0" borderId="43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2" fontId="11" fillId="0" borderId="24" xfId="0" applyNumberFormat="1" applyFont="1" applyBorder="1" applyAlignment="1">
      <alignment/>
    </xf>
    <xf numFmtId="182" fontId="8" fillId="0" borderId="24" xfId="0" applyNumberFormat="1" applyFont="1" applyBorder="1" applyAlignment="1">
      <alignment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82" fontId="12" fillId="33" borderId="12" xfId="0" applyNumberFormat="1" applyFont="1" applyFill="1" applyBorder="1" applyAlignment="1">
      <alignment horizontal="center"/>
    </xf>
    <xf numFmtId="182" fontId="12" fillId="33" borderId="0" xfId="0" applyNumberFormat="1" applyFont="1" applyFill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0" xfId="45" applyFont="1" applyAlignment="1" applyProtection="1">
      <alignment horizontal="left"/>
      <protection/>
    </xf>
    <xf numFmtId="0" fontId="13" fillId="0" borderId="0" xfId="45" applyFont="1" applyAlignment="1" applyProtection="1">
      <alignment horizontal="left"/>
      <protection/>
    </xf>
    <xf numFmtId="0" fontId="54" fillId="34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35"/>
      <c:rotY val="20"/>
      <c:depthPercent val="200"/>
      <c:rAngAx val="1"/>
    </c:view3D>
    <c:plotArea>
      <c:layout>
        <c:manualLayout>
          <c:xMode val="edge"/>
          <c:yMode val="edge"/>
          <c:x val="0.02175"/>
          <c:y val="0.0925"/>
          <c:w val="0.7992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DURACION!$G$12</c:f>
              <c:strCache>
                <c:ptCount val="1"/>
                <c:pt idx="0">
                  <c:v>DURACION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(DURACION!$G$13,DURACION!$G$32,DURACION!$G$50)</c:f>
              <c:numCache/>
            </c:numRef>
          </c:val>
          <c:shape val="box"/>
        </c:ser>
        <c:gapDepth val="0"/>
        <c:shape val="box"/>
        <c:axId val="55754670"/>
        <c:axId val="32029983"/>
      </c:bar3DChart>
      <c:catAx>
        <c:axId val="55754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029983"/>
        <c:crosses val="autoZero"/>
        <c:auto val="0"/>
        <c:lblOffset val="100"/>
        <c:tickLblSkip val="1"/>
        <c:noMultiLvlLbl val="0"/>
      </c:catAx>
      <c:valAx>
        <c:axId val="320299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52225"/>
          <c:w val="0.147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035"/>
          <c:y val="0.2485"/>
          <c:w val="0.392"/>
          <c:h val="0.548"/>
        </c:manualLayout>
      </c:layout>
      <c:pieChart>
        <c:varyColors val="1"/>
        <c:ser>
          <c:idx val="0"/>
          <c:order val="0"/>
          <c:tx>
            <c:strRef>
              <c:f>'MODELO BONOS'!$H$27</c:f>
              <c:strCache>
                <c:ptCount val="1"/>
                <c:pt idx="0">
                  <c:v>PESO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'MODELO BONOS'!$H$29:$H$31</c:f>
              <c:numCache>
                <c:ptCount val="3"/>
                <c:pt idx="0">
                  <c:v>0</c:v>
                </c:pt>
                <c:pt idx="1">
                  <c:v>0.10855216470262176</c:v>
                </c:pt>
                <c:pt idx="2">
                  <c:v>0.8914478223570899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RENDIMIENTOS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825"/>
          <c:w val="0.77625"/>
          <c:h val="0.817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GRAFICOS!$L$52:$L$55</c:f>
              <c:strCache/>
            </c:strRef>
          </c:cat>
          <c:val>
            <c:numRef>
              <c:f>GRAFICOS!$M$52:$M$55</c:f>
              <c:numCache/>
            </c:numRef>
          </c:val>
        </c:ser>
        <c:axId val="19834392"/>
        <c:axId val="44291801"/>
      </c:bar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91801"/>
        <c:crosses val="autoZero"/>
        <c:auto val="0"/>
        <c:lblOffset val="100"/>
        <c:tickLblSkip val="1"/>
        <c:noMultiLvlLbl val="0"/>
      </c:catAx>
      <c:valAx>
        <c:axId val="442918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392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"/>
          <c:w val="0.17475"/>
          <c:h val="0.1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45</xdr:row>
      <xdr:rowOff>28575</xdr:rowOff>
    </xdr:from>
    <xdr:to>
      <xdr:col>17</xdr:col>
      <xdr:colOff>466725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7677150" y="7677150"/>
        <a:ext cx="46767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104775</xdr:colOff>
      <xdr:row>1</xdr:row>
      <xdr:rowOff>0</xdr:rowOff>
    </xdr:from>
    <xdr:to>
      <xdr:col>1</xdr:col>
      <xdr:colOff>495300</xdr:colOff>
      <xdr:row>3</xdr:row>
      <xdr:rowOff>123825</xdr:rowOff>
    </xdr:to>
    <xdr:pic>
      <xdr:nvPicPr>
        <xdr:cNvPr id="2" name="Picture 3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61925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0</xdr:rowOff>
    </xdr:from>
    <xdr:to>
      <xdr:col>1</xdr:col>
      <xdr:colOff>495300</xdr:colOff>
      <xdr:row>3</xdr:row>
      <xdr:rowOff>123825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61925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8</xdr:col>
      <xdr:colOff>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52425" y="1143000"/>
        <a:ext cx="53244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34</xdr:row>
      <xdr:rowOff>0</xdr:rowOff>
    </xdr:from>
    <xdr:to>
      <xdr:col>7</xdr:col>
      <xdr:colOff>714375</xdr:colOff>
      <xdr:row>57</xdr:row>
      <xdr:rowOff>133350</xdr:rowOff>
    </xdr:to>
    <xdr:graphicFrame>
      <xdr:nvGraphicFramePr>
        <xdr:cNvPr id="2" name="Chart 2"/>
        <xdr:cNvGraphicFramePr/>
      </xdr:nvGraphicFramePr>
      <xdr:xfrm>
        <a:off x="361950" y="5505450"/>
        <a:ext cx="52673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104775</xdr:colOff>
      <xdr:row>1</xdr:row>
      <xdr:rowOff>0</xdr:rowOff>
    </xdr:from>
    <xdr:to>
      <xdr:col>1</xdr:col>
      <xdr:colOff>495300</xdr:colOff>
      <xdr:row>3</xdr:row>
      <xdr:rowOff>123825</xdr:rowOff>
    </xdr:to>
    <xdr:pic>
      <xdr:nvPicPr>
        <xdr:cNvPr id="3" name="Picture 3" descr="image0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61925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0</xdr:rowOff>
    </xdr:from>
    <xdr:to>
      <xdr:col>1</xdr:col>
      <xdr:colOff>495300</xdr:colOff>
      <xdr:row>3</xdr:row>
      <xdr:rowOff>123825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133350</xdr:rowOff>
    </xdr:from>
    <xdr:to>
      <xdr:col>1</xdr:col>
      <xdr:colOff>590550</xdr:colOff>
      <xdr:row>3</xdr:row>
      <xdr:rowOff>95250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3350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B5:L63"/>
  <sheetViews>
    <sheetView showGridLines="0" tabSelected="1" zoomScalePageLayoutView="0" workbookViewId="0" topLeftCell="A31">
      <selection activeCell="I41" sqref="I41"/>
    </sheetView>
  </sheetViews>
  <sheetFormatPr defaultColWidth="11.421875" defaultRowHeight="12.75"/>
  <cols>
    <col min="1" max="1" width="3.421875" style="0" customWidth="1"/>
    <col min="2" max="2" width="11.421875" style="1" customWidth="1"/>
    <col min="3" max="3" width="17.28125" style="1" customWidth="1"/>
    <col min="4" max="4" width="12.140625" style="1" customWidth="1"/>
    <col min="5" max="5" width="11.421875" style="1" customWidth="1"/>
    <col min="6" max="6" width="18.140625" style="1" customWidth="1"/>
    <col min="7" max="7" width="12.421875" style="1" customWidth="1"/>
    <col min="8" max="8" width="8.00390625" style="0" customWidth="1"/>
    <col min="9" max="9" width="9.7109375" style="0" customWidth="1"/>
    <col min="10" max="11" width="5.57421875" style="0" customWidth="1"/>
    <col min="12" max="12" width="6.00390625" style="0" customWidth="1"/>
  </cols>
  <sheetData>
    <row r="2" ht="12.75"/>
    <row r="3" ht="12.75"/>
    <row r="4" ht="12.75"/>
    <row r="5" ht="12.75">
      <c r="B5" s="137" t="s">
        <v>111</v>
      </c>
    </row>
    <row r="8" spans="6:8" ht="12.75">
      <c r="F8" s="132">
        <v>38776</v>
      </c>
      <c r="G8" s="133">
        <v>0.02825</v>
      </c>
      <c r="H8" s="1" t="s">
        <v>104</v>
      </c>
    </row>
    <row r="9" spans="2:12" ht="16.5" thickBot="1">
      <c r="B9" s="24" t="s">
        <v>0</v>
      </c>
      <c r="F9" s="132">
        <v>40967</v>
      </c>
      <c r="G9" s="133">
        <v>0.02557</v>
      </c>
      <c r="H9" s="1" t="s">
        <v>105</v>
      </c>
      <c r="I9" s="1"/>
      <c r="J9" s="1"/>
      <c r="K9" s="1"/>
      <c r="L9" s="1"/>
    </row>
    <row r="10" spans="6:12" ht="13.5" thickBot="1">
      <c r="F10" s="134">
        <f>DURATION(F8,F9,G8,G9,1)</f>
        <v>5.606100063954313</v>
      </c>
      <c r="G10" s="136" t="s">
        <v>107</v>
      </c>
      <c r="H10" s="2"/>
      <c r="I10" s="1"/>
      <c r="J10" s="1"/>
      <c r="K10" s="1"/>
      <c r="L10" s="1"/>
    </row>
    <row r="11" spans="2:12" ht="13.5" thickBot="1">
      <c r="B11" s="14"/>
      <c r="C11" s="2"/>
      <c r="D11" s="16"/>
      <c r="E11" s="16"/>
      <c r="I11" s="2"/>
      <c r="J11" s="1"/>
      <c r="K11" s="1"/>
      <c r="L11" s="1"/>
    </row>
    <row r="12" spans="2:12" s="13" customFormat="1" ht="16.5" thickBot="1" thickTop="1">
      <c r="B12" s="17" t="s">
        <v>1</v>
      </c>
      <c r="C12" s="26">
        <v>100</v>
      </c>
      <c r="D12" s="17" t="s">
        <v>2</v>
      </c>
      <c r="E12" s="17" t="s">
        <v>3</v>
      </c>
      <c r="F12" s="17" t="s">
        <v>4</v>
      </c>
      <c r="G12" s="17" t="s">
        <v>5</v>
      </c>
      <c r="H12" s="27" t="s">
        <v>6</v>
      </c>
      <c r="I12" s="27" t="s">
        <v>2</v>
      </c>
      <c r="J12" s="14"/>
      <c r="K12" s="2"/>
      <c r="L12" s="2"/>
    </row>
    <row r="13" spans="2:12" s="29" customFormat="1" ht="16.5" thickBot="1" thickTop="1">
      <c r="B13" s="18"/>
      <c r="C13" s="25" t="s">
        <v>7</v>
      </c>
      <c r="D13" s="18"/>
      <c r="E13" s="18"/>
      <c r="F13" s="38">
        <f>-PV(H13/100,B19,E14,C12)</f>
        <v>101.47336767475794</v>
      </c>
      <c r="G13" s="134">
        <f>(((B14*E14)/((H13/100)+1)^B14)+((B15*E15)/((H13/100)+1)^B15)+((B16*E16)/((H13/100)+1)^B16)+((E17*B17)/((H13/100)+1)^B17)+((E18*B18)/((H13/100)+1)^B18)+((B19*E19)/((H13/100)+1)^B19))/F13</f>
        <v>5.606100063954307</v>
      </c>
      <c r="H13" s="19">
        <f>5.114/2</f>
        <v>2.557</v>
      </c>
      <c r="I13" s="19">
        <f>5.65/2</f>
        <v>2.825</v>
      </c>
      <c r="J13" s="10"/>
      <c r="K13" s="10"/>
      <c r="L13" s="28"/>
    </row>
    <row r="14" spans="2:12" ht="13.5" thickTop="1">
      <c r="B14" s="22">
        <v>1</v>
      </c>
      <c r="C14" s="22"/>
      <c r="D14" s="30">
        <f aca="true" t="shared" si="0" ref="D14:D19">$C$12*($I$13/100)</f>
        <v>2.825</v>
      </c>
      <c r="E14" s="31">
        <f>D14</f>
        <v>2.825</v>
      </c>
      <c r="F14" s="3"/>
      <c r="G14" s="3"/>
      <c r="H14" s="3"/>
      <c r="I14" s="3"/>
      <c r="J14" s="15"/>
      <c r="K14" s="15"/>
      <c r="L14" s="3"/>
    </row>
    <row r="15" spans="2:12" ht="12.75">
      <c r="B15" s="22">
        <v>2</v>
      </c>
      <c r="C15" s="5"/>
      <c r="D15" s="30">
        <f t="shared" si="0"/>
        <v>2.825</v>
      </c>
      <c r="E15" s="31">
        <f>D15</f>
        <v>2.825</v>
      </c>
      <c r="F15" s="71" t="s">
        <v>110</v>
      </c>
      <c r="G15"/>
      <c r="H15" s="3"/>
      <c r="I15" s="3"/>
      <c r="J15" s="3"/>
      <c r="K15" s="3"/>
      <c r="L15" s="3"/>
    </row>
    <row r="16" spans="2:12" ht="12.75">
      <c r="B16" s="22">
        <v>3</v>
      </c>
      <c r="C16" s="5"/>
      <c r="D16" s="30">
        <f t="shared" si="0"/>
        <v>2.825</v>
      </c>
      <c r="E16" s="31">
        <f>D16</f>
        <v>2.825</v>
      </c>
      <c r="F16" s="71" t="s">
        <v>8</v>
      </c>
      <c r="G16"/>
      <c r="H16" s="3"/>
      <c r="I16" s="3"/>
      <c r="J16" s="3"/>
      <c r="K16" s="3"/>
      <c r="L16" s="3"/>
    </row>
    <row r="17" spans="2:12" ht="12.75">
      <c r="B17" s="22">
        <v>4</v>
      </c>
      <c r="C17" s="5"/>
      <c r="D17" s="30">
        <f t="shared" si="0"/>
        <v>2.825</v>
      </c>
      <c r="E17" s="31">
        <f>D17</f>
        <v>2.825</v>
      </c>
      <c r="F17" s="3"/>
      <c r="G17" s="3"/>
      <c r="H17" s="3"/>
      <c r="I17" s="3"/>
      <c r="J17" s="3"/>
      <c r="K17" s="3"/>
      <c r="L17" s="3"/>
    </row>
    <row r="18" spans="2:12" ht="12.75">
      <c r="B18" s="22">
        <v>5</v>
      </c>
      <c r="C18" s="5"/>
      <c r="D18" s="30">
        <f t="shared" si="0"/>
        <v>2.825</v>
      </c>
      <c r="E18" s="31">
        <f>D18</f>
        <v>2.825</v>
      </c>
      <c r="F18" s="3"/>
      <c r="G18" s="3"/>
      <c r="H18" s="3"/>
      <c r="I18" s="3"/>
      <c r="J18" s="3"/>
      <c r="K18" s="3"/>
      <c r="L18" s="3"/>
    </row>
    <row r="19" spans="2:12" ht="13.5" thickBot="1">
      <c r="B19" s="23">
        <v>6</v>
      </c>
      <c r="C19" s="21"/>
      <c r="D19" s="32">
        <f t="shared" si="0"/>
        <v>2.825</v>
      </c>
      <c r="E19" s="33">
        <f>D19+C12</f>
        <v>102.825</v>
      </c>
      <c r="F19" s="3"/>
      <c r="G19" s="3"/>
      <c r="H19" s="3"/>
      <c r="I19" s="3"/>
      <c r="J19" s="3"/>
      <c r="K19" s="3"/>
      <c r="L19" s="3"/>
    </row>
    <row r="20" spans="2:12" ht="13.5" thickTop="1">
      <c r="B20"/>
      <c r="C20"/>
      <c r="D20"/>
      <c r="E20"/>
      <c r="F20"/>
      <c r="G20"/>
      <c r="J20" s="3"/>
      <c r="K20" s="3"/>
      <c r="L20" s="3"/>
    </row>
    <row r="21" spans="2:12" ht="12.75">
      <c r="B21" s="37" t="s">
        <v>9</v>
      </c>
      <c r="C21" s="35" t="s">
        <v>112</v>
      </c>
      <c r="D21" s="4"/>
      <c r="E21" s="4"/>
      <c r="F21" s="3"/>
      <c r="G21" s="3"/>
      <c r="H21" s="3"/>
      <c r="I21" s="3"/>
      <c r="J21" s="3"/>
      <c r="K21" s="3"/>
      <c r="L21" s="3"/>
    </row>
    <row r="22" spans="2:12" ht="12.75">
      <c r="B22" s="34"/>
      <c r="C22" s="35" t="s">
        <v>10</v>
      </c>
      <c r="D22" s="4"/>
      <c r="E22" s="4"/>
      <c r="F22" s="3"/>
      <c r="G22" s="3"/>
      <c r="H22" s="3"/>
      <c r="I22" s="3"/>
      <c r="J22" s="3"/>
      <c r="K22" s="3"/>
      <c r="L22" s="3"/>
    </row>
    <row r="23" spans="3:12" ht="12.75">
      <c r="C23" s="36" t="s">
        <v>11</v>
      </c>
      <c r="D23" s="4"/>
      <c r="E23" s="4"/>
      <c r="F23" s="3"/>
      <c r="G23" s="3"/>
      <c r="H23" s="3"/>
      <c r="I23" s="3"/>
      <c r="J23" s="3"/>
      <c r="K23" s="3"/>
      <c r="L23" s="3"/>
    </row>
    <row r="24" spans="2:12" ht="12.75">
      <c r="B24"/>
      <c r="C24" s="35" t="s">
        <v>12</v>
      </c>
      <c r="H24" s="1"/>
      <c r="I24" s="1"/>
      <c r="J24" s="1"/>
      <c r="K24" s="1"/>
      <c r="L24" s="1"/>
    </row>
    <row r="25" spans="2:12" ht="12.75">
      <c r="B25" s="3"/>
      <c r="C25"/>
      <c r="D25" s="4"/>
      <c r="E25" s="4"/>
      <c r="F25" s="3"/>
      <c r="G25" s="3"/>
      <c r="H25" s="3"/>
      <c r="I25" s="3"/>
      <c r="J25" s="3"/>
      <c r="K25" s="3"/>
      <c r="L25" s="3"/>
    </row>
    <row r="26" spans="2:12" ht="12.75">
      <c r="B26" s="3"/>
      <c r="C26" s="4"/>
      <c r="D26" s="4"/>
      <c r="E26" s="4"/>
      <c r="F26" s="3"/>
      <c r="G26" s="3"/>
      <c r="H26" s="3"/>
      <c r="I26" s="3"/>
      <c r="J26" s="3"/>
      <c r="K26" s="3"/>
      <c r="L26" s="3"/>
    </row>
    <row r="27" spans="8:9" ht="13.5" thickBot="1">
      <c r="H27" s="1"/>
      <c r="I27" s="1"/>
    </row>
    <row r="28" spans="2:9" ht="16.5" thickBot="1">
      <c r="B28" s="24" t="s">
        <v>13</v>
      </c>
      <c r="F28" s="136" t="s">
        <v>107</v>
      </c>
      <c r="G28" s="133">
        <f>+I32/100</f>
        <v>0.030625</v>
      </c>
      <c r="H28" s="1" t="s">
        <v>104</v>
      </c>
      <c r="I28" s="1"/>
    </row>
    <row r="29" spans="6:9" ht="13.5" thickBot="1">
      <c r="F29" s="134">
        <f>DURATION(F8,F9,G28,G29,1)</f>
        <v>5.577287785129394</v>
      </c>
      <c r="G29" s="133">
        <f>+H32/100</f>
        <v>0.0264</v>
      </c>
      <c r="H29" s="1" t="s">
        <v>105</v>
      </c>
      <c r="I29" s="1"/>
    </row>
    <row r="30" spans="2:9" ht="13.5" thickBot="1">
      <c r="B30" s="14"/>
      <c r="C30" s="2"/>
      <c r="D30" s="16"/>
      <c r="E30" s="16"/>
      <c r="F30" s="16"/>
      <c r="G30" s="16"/>
      <c r="H30" s="2"/>
      <c r="I30" s="2"/>
    </row>
    <row r="31" spans="2:9" s="29" customFormat="1" ht="16.5" thickBot="1" thickTop="1">
      <c r="B31" s="17" t="s">
        <v>1</v>
      </c>
      <c r="C31" s="26">
        <v>100</v>
      </c>
      <c r="D31" s="17" t="s">
        <v>2</v>
      </c>
      <c r="E31" s="17" t="s">
        <v>3</v>
      </c>
      <c r="F31" s="17" t="s">
        <v>4</v>
      </c>
      <c r="G31" s="17" t="s">
        <v>5</v>
      </c>
      <c r="H31" s="27" t="s">
        <v>6</v>
      </c>
      <c r="I31" s="27" t="s">
        <v>2</v>
      </c>
    </row>
    <row r="32" spans="2:9" ht="14.25" thickBot="1" thickTop="1">
      <c r="B32" s="18"/>
      <c r="C32" s="25" t="s">
        <v>7</v>
      </c>
      <c r="D32" s="18"/>
      <c r="E32" s="18"/>
      <c r="F32" s="38">
        <f>-PV(H32/100,B38,E33,C31)</f>
        <v>102.31632588683524</v>
      </c>
      <c r="G32" s="134">
        <f>(((B33*E33)/((H32/100)+1)^B33)+((B34*E34)/((H32/100)+1)^B34)+((B35*E35)/((H32/100)+1)^B35)+((E36*B36)/((H32/100)+1)^B36)+((E37*B37)/((H32/100)+1)^B37)+((B38*E38)/((H32/100)+1)^B38))/F32</f>
        <v>5.577287785129394</v>
      </c>
      <c r="H32" s="39">
        <f>5.28/2</f>
        <v>2.64</v>
      </c>
      <c r="I32" s="19">
        <f>6.125/2</f>
        <v>3.0625</v>
      </c>
    </row>
    <row r="33" spans="2:9" ht="13.5" thickTop="1">
      <c r="B33" s="22">
        <v>1</v>
      </c>
      <c r="C33" s="22"/>
      <c r="D33" s="30">
        <f aca="true" t="shared" si="1" ref="D33:D38">$C$31*($I$32/100)</f>
        <v>3.0625</v>
      </c>
      <c r="E33" s="31">
        <f>D33</f>
        <v>3.0625</v>
      </c>
      <c r="F33" s="3"/>
      <c r="G33" s="3"/>
      <c r="H33" s="3"/>
      <c r="I33" s="3"/>
    </row>
    <row r="34" spans="2:9" ht="12.75">
      <c r="B34" s="22">
        <v>2</v>
      </c>
      <c r="C34" s="5"/>
      <c r="D34" s="30">
        <f t="shared" si="1"/>
        <v>3.0625</v>
      </c>
      <c r="E34" s="31">
        <f>D34</f>
        <v>3.0625</v>
      </c>
      <c r="F34" s="71" t="s">
        <v>109</v>
      </c>
      <c r="G34" s="3"/>
      <c r="H34" s="3"/>
      <c r="I34" s="3"/>
    </row>
    <row r="35" spans="2:9" ht="12.75">
      <c r="B35" s="22">
        <v>3</v>
      </c>
      <c r="C35" s="5"/>
      <c r="D35" s="30">
        <f t="shared" si="1"/>
        <v>3.0625</v>
      </c>
      <c r="E35" s="31">
        <f>D35</f>
        <v>3.0625</v>
      </c>
      <c r="F35" s="71" t="s">
        <v>14</v>
      </c>
      <c r="G35" s="3"/>
      <c r="H35" s="3"/>
      <c r="I35" s="3"/>
    </row>
    <row r="36" spans="2:9" ht="12.75">
      <c r="B36" s="22">
        <v>4</v>
      </c>
      <c r="C36" s="5"/>
      <c r="D36" s="30">
        <f t="shared" si="1"/>
        <v>3.0625</v>
      </c>
      <c r="E36" s="31">
        <f>D36</f>
        <v>3.0625</v>
      </c>
      <c r="F36" s="3"/>
      <c r="G36" s="3"/>
      <c r="H36" s="3"/>
      <c r="I36" s="3"/>
    </row>
    <row r="37" spans="2:9" ht="12.75">
      <c r="B37" s="22">
        <v>5</v>
      </c>
      <c r="C37" s="5"/>
      <c r="D37" s="30">
        <f t="shared" si="1"/>
        <v>3.0625</v>
      </c>
      <c r="E37" s="31">
        <f>D37</f>
        <v>3.0625</v>
      </c>
      <c r="F37" s="3"/>
      <c r="G37" s="3"/>
      <c r="H37" s="3"/>
      <c r="I37" s="3"/>
    </row>
    <row r="38" spans="2:9" ht="13.5" thickBot="1">
      <c r="B38" s="23">
        <v>6</v>
      </c>
      <c r="C38" s="21"/>
      <c r="D38" s="32">
        <f t="shared" si="1"/>
        <v>3.0625</v>
      </c>
      <c r="E38" s="33">
        <f>D38+C31</f>
        <v>103.0625</v>
      </c>
      <c r="F38" s="3"/>
      <c r="G38" s="3"/>
      <c r="H38" s="3"/>
      <c r="I38" s="3"/>
    </row>
    <row r="39" ht="13.5" thickTop="1"/>
    <row r="40" spans="2:3" ht="12.75">
      <c r="B40" s="37" t="s">
        <v>9</v>
      </c>
      <c r="C40" s="35" t="s">
        <v>112</v>
      </c>
    </row>
    <row r="41" spans="2:3" ht="12.75">
      <c r="B41" s="34"/>
      <c r="C41" s="35" t="s">
        <v>10</v>
      </c>
    </row>
    <row r="42" ht="12.75">
      <c r="C42" s="36" t="s">
        <v>15</v>
      </c>
    </row>
    <row r="43" ht="12.75">
      <c r="C43" s="36" t="s">
        <v>16</v>
      </c>
    </row>
    <row r="44" ht="12.75">
      <c r="C44" s="36"/>
    </row>
    <row r="45" spans="6:9" ht="12.75">
      <c r="F45" s="132">
        <v>38776</v>
      </c>
      <c r="G45" s="133" t="s">
        <v>106</v>
      </c>
      <c r="H45" s="133">
        <v>0.0335</v>
      </c>
      <c r="I45" s="1"/>
    </row>
    <row r="46" spans="2:9" ht="16.5" thickBot="1">
      <c r="B46" s="24" t="s">
        <v>17</v>
      </c>
      <c r="F46" s="132">
        <v>41698</v>
      </c>
      <c r="G46" s="133" t="s">
        <v>105</v>
      </c>
      <c r="H46" s="133">
        <v>0.02647</v>
      </c>
      <c r="I46" s="1"/>
    </row>
    <row r="47" spans="6:9" ht="13.5" thickBot="1">
      <c r="F47" s="135">
        <f>DURATION(F45,F46,H45,H46,1)</f>
        <v>7.173243552644807</v>
      </c>
      <c r="G47" s="136" t="s">
        <v>107</v>
      </c>
      <c r="I47" s="1"/>
    </row>
    <row r="48" spans="2:9" ht="13.5" thickBot="1">
      <c r="B48" s="14"/>
      <c r="C48" s="2"/>
      <c r="D48" s="16"/>
      <c r="E48" s="16"/>
      <c r="F48" s="16"/>
      <c r="G48" s="16"/>
      <c r="H48" s="2"/>
      <c r="I48" s="2"/>
    </row>
    <row r="49" spans="2:9" s="29" customFormat="1" ht="16.5" thickBot="1" thickTop="1">
      <c r="B49" s="17" t="s">
        <v>1</v>
      </c>
      <c r="C49" s="26">
        <v>100</v>
      </c>
      <c r="D49" s="17" t="s">
        <v>2</v>
      </c>
      <c r="E49" s="17" t="s">
        <v>3</v>
      </c>
      <c r="F49" s="17" t="s">
        <v>4</v>
      </c>
      <c r="G49" s="17" t="s">
        <v>5</v>
      </c>
      <c r="H49" s="27" t="s">
        <v>6</v>
      </c>
      <c r="I49" s="27" t="s">
        <v>2</v>
      </c>
    </row>
    <row r="50" spans="2:9" ht="14.25" thickBot="1" thickTop="1">
      <c r="B50" s="18"/>
      <c r="C50" s="25" t="s">
        <v>18</v>
      </c>
      <c r="D50" s="18"/>
      <c r="E50" s="18"/>
      <c r="F50" s="38">
        <f>-PV(H50/100,B58,E51,C49)</f>
        <v>105.00916084233309</v>
      </c>
      <c r="G50" s="135">
        <f>(((B51*E51)/((H50/100)+1)^B51)+((B52*E52)/((H50/100)+1)^B52)+((B53*E53)/((H50/100)+1)^B53)+((E54*B54)/((H50/100)+1)^B54)+((E55*B55)/((H50/100)+1)^B55)+((B56*E56)/((H50/100)+1)^B56)+((B57*E57)/((H50/100)+1)^B57)+((B58*E58)/((H50/100)+1)^B58))/F50</f>
        <v>7.173243552644809</v>
      </c>
      <c r="H50" s="39">
        <f>5.294/2</f>
        <v>2.647</v>
      </c>
      <c r="I50" s="39">
        <f>6.7/2</f>
        <v>3.35</v>
      </c>
    </row>
    <row r="51" spans="2:9" ht="13.5" thickTop="1">
      <c r="B51" s="22">
        <v>1</v>
      </c>
      <c r="C51" s="22"/>
      <c r="D51" s="30">
        <f>$C$49*($I$50/100)</f>
        <v>3.35</v>
      </c>
      <c r="E51" s="31">
        <f>D51</f>
        <v>3.35</v>
      </c>
      <c r="F51" s="3"/>
      <c r="G51" s="3"/>
      <c r="H51" s="3"/>
      <c r="I51" s="3"/>
    </row>
    <row r="52" spans="2:9" ht="12.75">
      <c r="B52" s="22">
        <v>2</v>
      </c>
      <c r="C52" s="5"/>
      <c r="D52" s="30">
        <f aca="true" t="shared" si="2" ref="D52:D58">$C$49*($I$50/100)</f>
        <v>3.35</v>
      </c>
      <c r="E52" s="31">
        <f aca="true" t="shared" si="3" ref="E52:E57">D52</f>
        <v>3.35</v>
      </c>
      <c r="F52" s="71" t="s">
        <v>108</v>
      </c>
      <c r="G52" s="3"/>
      <c r="H52" s="3"/>
      <c r="I52" s="3"/>
    </row>
    <row r="53" spans="2:9" ht="12.75">
      <c r="B53" s="22">
        <v>3</v>
      </c>
      <c r="C53" s="5"/>
      <c r="D53" s="30">
        <f t="shared" si="2"/>
        <v>3.35</v>
      </c>
      <c r="E53" s="31">
        <f t="shared" si="3"/>
        <v>3.35</v>
      </c>
      <c r="F53" s="71" t="s">
        <v>19</v>
      </c>
      <c r="G53" s="3"/>
      <c r="H53" s="3"/>
      <c r="I53" s="3"/>
    </row>
    <row r="54" spans="2:9" ht="12.75">
      <c r="B54" s="22">
        <v>4</v>
      </c>
      <c r="C54" s="5"/>
      <c r="D54" s="30">
        <f t="shared" si="2"/>
        <v>3.35</v>
      </c>
      <c r="E54" s="31">
        <f t="shared" si="3"/>
        <v>3.35</v>
      </c>
      <c r="F54" s="3"/>
      <c r="G54" s="3"/>
      <c r="H54" s="3"/>
      <c r="I54" s="3"/>
    </row>
    <row r="55" spans="2:9" ht="12.75">
      <c r="B55" s="22">
        <v>5</v>
      </c>
      <c r="C55" s="5"/>
      <c r="D55" s="30">
        <f t="shared" si="2"/>
        <v>3.35</v>
      </c>
      <c r="E55" s="31">
        <f t="shared" si="3"/>
        <v>3.35</v>
      </c>
      <c r="F55" s="3"/>
      <c r="G55" s="3"/>
      <c r="H55" s="3"/>
      <c r="I55" s="3"/>
    </row>
    <row r="56" spans="2:9" ht="12.75">
      <c r="B56" s="22">
        <v>6</v>
      </c>
      <c r="C56" s="5"/>
      <c r="D56" s="30">
        <f t="shared" si="2"/>
        <v>3.35</v>
      </c>
      <c r="E56" s="31">
        <f t="shared" si="3"/>
        <v>3.35</v>
      </c>
      <c r="F56" s="3"/>
      <c r="G56" s="3"/>
      <c r="H56" s="3"/>
      <c r="I56" s="3"/>
    </row>
    <row r="57" spans="2:9" ht="12.75">
      <c r="B57" s="22">
        <v>7</v>
      </c>
      <c r="C57" s="5"/>
      <c r="D57" s="30">
        <f t="shared" si="2"/>
        <v>3.35</v>
      </c>
      <c r="E57" s="31">
        <f t="shared" si="3"/>
        <v>3.35</v>
      </c>
      <c r="F57" s="3"/>
      <c r="G57" s="3"/>
      <c r="H57" s="3"/>
      <c r="I57" s="3"/>
    </row>
    <row r="58" spans="2:9" ht="13.5" thickBot="1">
      <c r="B58" s="23">
        <v>8</v>
      </c>
      <c r="C58" s="21"/>
      <c r="D58" s="32">
        <f t="shared" si="2"/>
        <v>3.35</v>
      </c>
      <c r="E58" s="33">
        <f>D58+C49</f>
        <v>103.35</v>
      </c>
      <c r="F58" s="3"/>
      <c r="G58" s="3"/>
      <c r="H58" s="3"/>
      <c r="I58" s="3"/>
    </row>
    <row r="59" ht="13.5" thickTop="1"/>
    <row r="60" spans="2:3" ht="12.75">
      <c r="B60" s="37" t="s">
        <v>9</v>
      </c>
      <c r="C60" s="35" t="s">
        <v>113</v>
      </c>
    </row>
    <row r="61" spans="2:3" ht="12.75">
      <c r="B61" s="34"/>
      <c r="C61" s="35" t="s">
        <v>10</v>
      </c>
    </row>
    <row r="62" ht="12.75">
      <c r="C62" s="36" t="s">
        <v>20</v>
      </c>
    </row>
    <row r="63" ht="12.75">
      <c r="C63" s="36" t="s">
        <v>21</v>
      </c>
    </row>
  </sheetData>
  <sheetProtection password="BE52" sheet="1" objects="1" scenarios="1"/>
  <hyperlinks>
    <hyperlink ref="B5" r:id="rId1" display="www.gacetafinanciera.com"/>
  </hyperlinks>
  <printOptions horizontalCentered="1" verticalCentered="1"/>
  <pageMargins left="0.3937007874015748" right="0.3937007874015748" top="1.1811023622047245" bottom="0.7874015748031497" header="0.32" footer="0"/>
  <pageSetup horizontalDpi="360" verticalDpi="360" orientation="landscape" r:id="rId3"/>
  <headerFooter alignWithMargins="0">
    <oddHeader>&amp;R&amp;"Arial,Negrita"&amp;8FERNANDO DE JESÚS FRANCO CUARTAS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B1:G61"/>
  <sheetViews>
    <sheetView showGridLines="0" zoomScalePageLayoutView="0" workbookViewId="0" topLeftCell="A31">
      <selection activeCell="I11" sqref="I11"/>
    </sheetView>
  </sheetViews>
  <sheetFormatPr defaultColWidth="11.421875" defaultRowHeight="12.75"/>
  <cols>
    <col min="1" max="1" width="4.00390625" style="29" customWidth="1"/>
    <col min="2" max="4" width="11.421875" style="29" customWidth="1"/>
    <col min="5" max="5" width="13.421875" style="29" customWidth="1"/>
    <col min="6" max="6" width="15.7109375" style="29" customWidth="1"/>
    <col min="7" max="16384" width="11.421875" style="29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  <row r="5" spans="2:7" ht="12.75">
      <c r="B5" s="137" t="s">
        <v>111</v>
      </c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ht="15">
      <c r="B7" s="75" t="s">
        <v>22</v>
      </c>
    </row>
    <row r="8" ht="14.25">
      <c r="B8" s="29" t="s">
        <v>23</v>
      </c>
    </row>
    <row r="9" ht="14.25">
      <c r="B9" s="29" t="s">
        <v>24</v>
      </c>
    </row>
    <row r="10" spans="6:7" ht="15">
      <c r="F10" s="76" t="s">
        <v>25</v>
      </c>
      <c r="G10" s="74"/>
    </row>
    <row r="11" spans="3:7" ht="15">
      <c r="C11" s="77" t="s">
        <v>26</v>
      </c>
      <c r="D11" s="77" t="s">
        <v>27</v>
      </c>
      <c r="E11" s="77" t="s">
        <v>28</v>
      </c>
      <c r="F11" s="78">
        <v>0.035</v>
      </c>
      <c r="G11" s="78">
        <v>0.02</v>
      </c>
    </row>
    <row r="12" spans="2:7" ht="15">
      <c r="B12" s="75" t="s">
        <v>29</v>
      </c>
      <c r="C12" s="73">
        <f>DURACION!I13</f>
        <v>2.825</v>
      </c>
      <c r="D12" s="73">
        <f>DURACION!H13</f>
        <v>2.557</v>
      </c>
      <c r="E12" s="29">
        <v>6</v>
      </c>
      <c r="F12" s="72">
        <v>96.4</v>
      </c>
      <c r="G12" s="72">
        <v>104.62</v>
      </c>
    </row>
    <row r="13" spans="2:7" ht="15">
      <c r="B13" s="75" t="s">
        <v>30</v>
      </c>
      <c r="C13" s="73">
        <f>DURACION!I32</f>
        <v>3.0625</v>
      </c>
      <c r="D13" s="73">
        <f>DURACION!H32</f>
        <v>2.64</v>
      </c>
      <c r="E13" s="29">
        <v>6</v>
      </c>
      <c r="F13" s="72">
        <v>97.67</v>
      </c>
      <c r="G13" s="72">
        <v>105.95</v>
      </c>
    </row>
    <row r="14" spans="2:7" ht="15">
      <c r="B14" s="75" t="s">
        <v>31</v>
      </c>
      <c r="C14" s="73">
        <f>DURACION!I50</f>
        <v>3.35</v>
      </c>
      <c r="D14" s="73">
        <f>DURACION!H50</f>
        <v>2.647</v>
      </c>
      <c r="E14" s="29">
        <v>8</v>
      </c>
      <c r="F14" s="72">
        <v>98.97</v>
      </c>
      <c r="G14" s="72">
        <v>109.89</v>
      </c>
    </row>
    <row r="16" ht="15">
      <c r="B16" s="75" t="s">
        <v>32</v>
      </c>
    </row>
    <row r="17" ht="14.25">
      <c r="B17" s="29" t="s">
        <v>33</v>
      </c>
    </row>
    <row r="18" ht="14.25">
      <c r="B18" s="29" t="s">
        <v>34</v>
      </c>
    </row>
    <row r="19" ht="14.25">
      <c r="B19" s="29" t="s">
        <v>35</v>
      </c>
    </row>
    <row r="20" ht="14.25">
      <c r="B20" s="29" t="s">
        <v>36</v>
      </c>
    </row>
    <row r="21" ht="14.25">
      <c r="B21" s="29" t="s">
        <v>37</v>
      </c>
    </row>
    <row r="22" spans="3:4" ht="15">
      <c r="C22" s="76" t="s">
        <v>38</v>
      </c>
      <c r="D22" s="74"/>
    </row>
    <row r="23" spans="3:5" ht="15">
      <c r="C23" s="78">
        <v>0.035</v>
      </c>
      <c r="D23" s="78">
        <v>0.02</v>
      </c>
      <c r="E23" s="77" t="s">
        <v>39</v>
      </c>
    </row>
    <row r="24" spans="2:5" ht="15">
      <c r="B24" s="75" t="s">
        <v>30</v>
      </c>
      <c r="C24" s="72">
        <v>98.45</v>
      </c>
      <c r="D24" s="72">
        <v>106.78</v>
      </c>
      <c r="E24" s="29">
        <f>((D24-C24)/C24)*100</f>
        <v>8.461147790756728</v>
      </c>
    </row>
    <row r="25" spans="2:5" ht="15">
      <c r="B25" s="75" t="s">
        <v>31</v>
      </c>
      <c r="C25" s="72">
        <v>98.01</v>
      </c>
      <c r="D25" s="72">
        <v>108.86</v>
      </c>
      <c r="E25" s="29">
        <f>((D25-C25)/C25)*100</f>
        <v>11.07029894908682</v>
      </c>
    </row>
    <row r="27" ht="15">
      <c r="B27" s="75" t="s">
        <v>40</v>
      </c>
    </row>
    <row r="28" ht="14.25">
      <c r="B28" s="29" t="s">
        <v>41</v>
      </c>
    </row>
    <row r="29" ht="14.25">
      <c r="B29" s="29" t="s">
        <v>42</v>
      </c>
    </row>
    <row r="30" ht="14.25">
      <c r="B30" s="29" t="s">
        <v>43</v>
      </c>
    </row>
    <row r="31" ht="14.25">
      <c r="B31" s="29" t="s">
        <v>44</v>
      </c>
    </row>
    <row r="32" spans="3:4" ht="15">
      <c r="C32" s="76" t="s">
        <v>38</v>
      </c>
      <c r="D32" s="74"/>
    </row>
    <row r="33" spans="3:6" ht="15">
      <c r="C33" s="78">
        <v>0.035</v>
      </c>
      <c r="D33" s="78">
        <v>0.02</v>
      </c>
      <c r="E33" s="75" t="s">
        <v>45</v>
      </c>
      <c r="F33" s="75" t="s">
        <v>46</v>
      </c>
    </row>
    <row r="34" spans="2:5" ht="15">
      <c r="B34" s="75" t="s">
        <v>29</v>
      </c>
      <c r="C34" s="72">
        <v>98.69</v>
      </c>
      <c r="D34" s="72">
        <v>105.7</v>
      </c>
      <c r="E34" s="29">
        <f>((D34-C34)/C34)*100</f>
        <v>7.103049954402681</v>
      </c>
    </row>
    <row r="35" spans="2:6" ht="15">
      <c r="B35" s="75" t="s">
        <v>30</v>
      </c>
      <c r="C35" s="72">
        <f>C24</f>
        <v>98.45</v>
      </c>
      <c r="D35" s="72">
        <f>D24</f>
        <v>106.78</v>
      </c>
      <c r="E35" s="29">
        <f>((D35-C35)/C35)*100</f>
        <v>8.461147790756728</v>
      </c>
      <c r="F35" s="29">
        <f>E35-E34</f>
        <v>1.3580978363540472</v>
      </c>
    </row>
    <row r="36" spans="2:6" ht="15">
      <c r="B36" s="75" t="s">
        <v>31</v>
      </c>
      <c r="C36" s="72">
        <v>98.22</v>
      </c>
      <c r="D36" s="72">
        <v>107.83</v>
      </c>
      <c r="E36" s="29">
        <f>((D36-C36)/C36)*100</f>
        <v>9.784158012624719</v>
      </c>
      <c r="F36" s="29">
        <f>E36-E35</f>
        <v>1.3230102218679907</v>
      </c>
    </row>
    <row r="38" ht="15">
      <c r="B38" s="75" t="s">
        <v>47</v>
      </c>
    </row>
    <row r="39" ht="14.25">
      <c r="B39" s="29" t="s">
        <v>48</v>
      </c>
    </row>
    <row r="40" ht="14.25">
      <c r="B40" s="29" t="s">
        <v>49</v>
      </c>
    </row>
    <row r="41" ht="14.25">
      <c r="B41" s="29" t="s">
        <v>50</v>
      </c>
    </row>
    <row r="42" spans="3:4" ht="15">
      <c r="C42" s="76" t="s">
        <v>38</v>
      </c>
      <c r="D42" s="74"/>
    </row>
    <row r="43" spans="3:5" ht="15">
      <c r="C43" s="78">
        <v>0.035</v>
      </c>
      <c r="D43" s="78">
        <v>0.02</v>
      </c>
      <c r="E43" s="75" t="s">
        <v>51</v>
      </c>
    </row>
    <row r="44" spans="2:5" ht="15">
      <c r="B44" s="75" t="s">
        <v>29</v>
      </c>
      <c r="C44" s="79">
        <v>96.4</v>
      </c>
      <c r="D44" s="72">
        <v>104.62</v>
      </c>
      <c r="E44" s="29">
        <f>((D44-C44)/C44)*100</f>
        <v>8.526970954356845</v>
      </c>
    </row>
    <row r="45" spans="2:5" ht="15">
      <c r="B45" s="75" t="s">
        <v>30</v>
      </c>
      <c r="C45" s="72">
        <v>97.67</v>
      </c>
      <c r="D45" s="72">
        <v>105.95</v>
      </c>
      <c r="E45" s="29">
        <f>((D45-C45)/C45)*100</f>
        <v>8.47752636428791</v>
      </c>
    </row>
    <row r="47" spans="2:7" ht="14.25">
      <c r="B47"/>
      <c r="C47"/>
      <c r="D47"/>
      <c r="E47"/>
      <c r="F47"/>
      <c r="G47"/>
    </row>
    <row r="48" spans="2:7" ht="14.25">
      <c r="B48"/>
      <c r="C48"/>
      <c r="D48"/>
      <c r="E48"/>
      <c r="F48"/>
      <c r="G48"/>
    </row>
    <row r="49" spans="2:7" ht="14.25">
      <c r="B49"/>
      <c r="C49"/>
      <c r="D49"/>
      <c r="E49"/>
      <c r="F49"/>
      <c r="G49"/>
    </row>
    <row r="50" spans="2:7" ht="14.25">
      <c r="B50"/>
      <c r="C50"/>
      <c r="D50"/>
      <c r="E50"/>
      <c r="F50"/>
      <c r="G50"/>
    </row>
    <row r="51" spans="2:7" ht="14.25">
      <c r="B51"/>
      <c r="C51"/>
      <c r="D51"/>
      <c r="E51"/>
      <c r="F51"/>
      <c r="G51"/>
    </row>
    <row r="52" ht="15">
      <c r="B52" s="75" t="s">
        <v>52</v>
      </c>
    </row>
    <row r="53" ht="14.25">
      <c r="B53" s="29" t="s">
        <v>53</v>
      </c>
    </row>
    <row r="54" ht="14.25">
      <c r="B54" s="29" t="s">
        <v>54</v>
      </c>
    </row>
    <row r="55" ht="14.25">
      <c r="B55" s="29" t="s">
        <v>55</v>
      </c>
    </row>
    <row r="56" ht="14.25">
      <c r="B56" s="29" t="s">
        <v>56</v>
      </c>
    </row>
    <row r="57" spans="3:6" ht="15">
      <c r="C57"/>
      <c r="D57" s="76" t="s">
        <v>38</v>
      </c>
      <c r="E57" s="82"/>
      <c r="F57" s="74"/>
    </row>
    <row r="58" spans="3:7" ht="15">
      <c r="C58" s="83" t="s">
        <v>57</v>
      </c>
      <c r="D58" s="78">
        <v>0.035</v>
      </c>
      <c r="E58" s="78">
        <v>0.02</v>
      </c>
      <c r="F58" s="81">
        <v>0.005</v>
      </c>
      <c r="G58" s="83" t="s">
        <v>57</v>
      </c>
    </row>
    <row r="59" spans="2:7" ht="15">
      <c r="B59" s="75" t="s">
        <v>29</v>
      </c>
      <c r="C59" s="29">
        <f>((D59-E59)/D59)*100</f>
        <v>-8.526970954356845</v>
      </c>
      <c r="D59" s="72">
        <v>96.4</v>
      </c>
      <c r="E59" s="72">
        <v>104.62</v>
      </c>
      <c r="F59" s="72">
        <v>113.71</v>
      </c>
      <c r="G59">
        <f>((F59-E59)/E59)*100</f>
        <v>8.688587268208744</v>
      </c>
    </row>
    <row r="60" spans="2:7" ht="15">
      <c r="B60" s="75" t="s">
        <v>30</v>
      </c>
      <c r="C60" s="29">
        <f>((D60-E60)/D60)*100</f>
        <v>-8.47752636428791</v>
      </c>
      <c r="D60" s="72">
        <v>97.67</v>
      </c>
      <c r="E60" s="72">
        <v>105.95</v>
      </c>
      <c r="F60" s="72">
        <v>115.11</v>
      </c>
      <c r="G60">
        <f>((F60-E60)/E60)*100</f>
        <v>8.64558754129306</v>
      </c>
    </row>
    <row r="61" spans="2:7" ht="15">
      <c r="B61" s="75" t="s">
        <v>31</v>
      </c>
      <c r="C61" s="29">
        <f>((D61-E61)/D61)*100</f>
        <v>-11.033646559563506</v>
      </c>
      <c r="D61" s="72">
        <v>98.97</v>
      </c>
      <c r="E61" s="72">
        <v>109.89</v>
      </c>
      <c r="F61" s="84">
        <v>122.3</v>
      </c>
      <c r="G61">
        <f>((F61-E61)/E61)*100</f>
        <v>11.29311129311129</v>
      </c>
    </row>
  </sheetData>
  <sheetProtection/>
  <hyperlinks>
    <hyperlink ref="B5" r:id="rId1" display="www.gacetafinanciera.com"/>
  </hyperlinks>
  <printOptions/>
  <pageMargins left="0.75" right="0.75" top="1" bottom="1" header="0.511811024" footer="0.511811024"/>
  <pageSetup horizontalDpi="300" verticalDpi="300" orientation="portrait" r:id="rId3"/>
  <headerFooter alignWithMargins="0">
    <oddHeader>&amp;R&amp;"Arial,Negrita"&amp;8FERNANDO DE JESÚS FRANCO CUARTAS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B1:M55"/>
  <sheetViews>
    <sheetView showGridLines="0" zoomScalePageLayoutView="0" workbookViewId="0" topLeftCell="A55">
      <selection activeCell="D2" sqref="D2"/>
    </sheetView>
  </sheetViews>
  <sheetFormatPr defaultColWidth="11.421875" defaultRowHeight="12.75"/>
  <cols>
    <col min="1" max="1" width="5.14062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  <row r="5" spans="2:7" ht="12.75">
      <c r="B5" s="137" t="s">
        <v>111</v>
      </c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37" ht="13.5" thickBot="1"/>
    <row r="38" spans="10:11" ht="13.5" thickTop="1">
      <c r="J38" s="61" t="s">
        <v>58</v>
      </c>
      <c r="K38" s="62">
        <v>0.057298062500000135</v>
      </c>
    </row>
    <row r="39" spans="10:11" ht="12.75">
      <c r="J39" s="65" t="s">
        <v>59</v>
      </c>
      <c r="K39" s="59">
        <v>0.06218789062499974</v>
      </c>
    </row>
    <row r="40" spans="10:11" ht="13.5" thickBot="1">
      <c r="J40" s="67" t="s">
        <v>60</v>
      </c>
      <c r="K40" s="68">
        <v>0.06812225000000027</v>
      </c>
    </row>
    <row r="41" spans="10:11" ht="17.25" thickBot="1" thickTop="1">
      <c r="J41" s="85" t="s">
        <v>61</v>
      </c>
      <c r="K41" s="50">
        <v>0.06747806579282105</v>
      </c>
    </row>
    <row r="52" spans="12:13" ht="12.75">
      <c r="L52" s="86" t="s">
        <v>62</v>
      </c>
      <c r="M52" s="80">
        <v>0.02825</v>
      </c>
    </row>
    <row r="53" spans="12:13" ht="12.75">
      <c r="L53" s="86" t="s">
        <v>59</v>
      </c>
      <c r="M53" s="80">
        <v>0.03063</v>
      </c>
    </row>
    <row r="54" spans="12:13" ht="12.75">
      <c r="L54" s="86" t="s">
        <v>60</v>
      </c>
      <c r="M54" s="80">
        <v>0.0335</v>
      </c>
    </row>
    <row r="55" spans="12:13" ht="12.75">
      <c r="L55" s="86" t="s">
        <v>61</v>
      </c>
      <c r="M55" s="80">
        <v>0.0332</v>
      </c>
    </row>
  </sheetData>
  <sheetProtection/>
  <hyperlinks>
    <hyperlink ref="B5" r:id="rId1" display="www.gacetafinanciera.com"/>
  </hyperlinks>
  <printOptions/>
  <pageMargins left="0.75" right="0.75" top="1" bottom="1" header="0.511811024" footer="0.511811024"/>
  <pageSetup horizontalDpi="300" verticalDpi="300" orientation="portrait" r:id="rId3"/>
  <headerFooter alignWithMargins="0">
    <oddHeader>&amp;R&amp;"Arial,Negrita"&amp;8FERNANDO DE JESÚS FRANCO CUARTAS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B1:I88"/>
  <sheetViews>
    <sheetView showGridLines="0" zoomScalePageLayoutView="0" workbookViewId="0" topLeftCell="A13">
      <selection activeCell="F14" sqref="F14"/>
    </sheetView>
  </sheetViews>
  <sheetFormatPr defaultColWidth="11.421875" defaultRowHeight="12.75"/>
  <cols>
    <col min="1" max="1" width="4.28125" style="104" customWidth="1"/>
    <col min="2" max="2" width="11.57421875" style="104" customWidth="1"/>
    <col min="3" max="3" width="13.28125" style="104" customWidth="1"/>
    <col min="4" max="4" width="11.421875" style="104" customWidth="1"/>
    <col min="5" max="5" width="17.00390625" style="104" customWidth="1"/>
    <col min="6" max="8" width="11.421875" style="104" customWidth="1"/>
    <col min="9" max="9" width="14.28125" style="104" customWidth="1"/>
    <col min="10" max="16384" width="11.421875" style="104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  <row r="5" spans="2:7" ht="12.75">
      <c r="B5" s="138" t="s">
        <v>111</v>
      </c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10" ht="13.5" thickBot="1"/>
    <row r="11" spans="2:7" s="93" customFormat="1" ht="16.5" thickTop="1">
      <c r="B11" s="90" t="s">
        <v>63</v>
      </c>
      <c r="C11" s="91"/>
      <c r="D11" s="91"/>
      <c r="E11" s="91"/>
      <c r="F11" s="91"/>
      <c r="G11" s="92"/>
    </row>
    <row r="12" spans="2:7" s="93" customFormat="1" ht="12.75">
      <c r="B12" s="94"/>
      <c r="C12" s="95"/>
      <c r="D12" s="95"/>
      <c r="E12" s="95"/>
      <c r="F12" s="95"/>
      <c r="G12" s="96"/>
    </row>
    <row r="13" spans="2:7" s="93" customFormat="1" ht="15">
      <c r="B13" s="97" t="s">
        <v>64</v>
      </c>
      <c r="C13" s="98" t="s">
        <v>65</v>
      </c>
      <c r="D13" s="98" t="s">
        <v>66</v>
      </c>
      <c r="E13" s="98" t="s">
        <v>67</v>
      </c>
      <c r="F13" s="98" t="s">
        <v>68</v>
      </c>
      <c r="G13" s="99" t="s">
        <v>69</v>
      </c>
    </row>
    <row r="14" spans="2:7" ht="14.25">
      <c r="B14" s="100" t="s">
        <v>70</v>
      </c>
      <c r="C14" s="101">
        <v>25.3</v>
      </c>
      <c r="D14" s="102">
        <f>+$C$19</f>
        <v>0</v>
      </c>
      <c r="E14" s="101">
        <f>(((1+(C14/100))/(1+(D14/100)))-1)*100</f>
        <v>25.30000000000001</v>
      </c>
      <c r="F14" s="101">
        <f>+(((E14/100)+1)^(0.5)-1)*100</f>
        <v>11.937482551645772</v>
      </c>
      <c r="G14" s="103">
        <f>+F14/100</f>
        <v>0.11937482551645771</v>
      </c>
    </row>
    <row r="15" spans="2:7" ht="14.25">
      <c r="B15" s="100" t="s">
        <v>71</v>
      </c>
      <c r="C15" s="101">
        <v>25.05</v>
      </c>
      <c r="D15" s="102">
        <f>+$C$19</f>
        <v>0</v>
      </c>
      <c r="E15" s="101">
        <f>(((1+(C15/100))/(1+(D15/100)))-1)*100</f>
        <v>25.049999999999994</v>
      </c>
      <c r="F15" s="101">
        <f>+(((E15/100)+1)^(0.5)-1)*100</f>
        <v>11.825757319143616</v>
      </c>
      <c r="G15" s="103">
        <f>((((1+(F15/100))^2)/(1+(F14/100)))-1)</f>
        <v>0.11714143600026361</v>
      </c>
    </row>
    <row r="16" spans="2:7" ht="14.25">
      <c r="B16" s="100" t="s">
        <v>72</v>
      </c>
      <c r="C16" s="101">
        <v>27.5</v>
      </c>
      <c r="D16" s="102">
        <f>+$C$19</f>
        <v>0</v>
      </c>
      <c r="E16" s="101">
        <f>(((1+(C16/100))/(1+(D16/100)))-1)*100</f>
        <v>27.499999999999993</v>
      </c>
      <c r="F16" s="101">
        <f>+(((E16/100)+1)^(0.5)-1)*100</f>
        <v>12.91589790636214</v>
      </c>
      <c r="G16" s="103">
        <f>((((1+(F16/100))^3)/((1+(F15/100))^2))-1)</f>
        <v>0.15128164598649896</v>
      </c>
    </row>
    <row r="17" spans="2:7" ht="14.25">
      <c r="B17" s="100"/>
      <c r="C17" s="102"/>
      <c r="D17" s="102"/>
      <c r="E17" s="102"/>
      <c r="F17" s="102"/>
      <c r="G17" s="105"/>
    </row>
    <row r="18" spans="2:7" ht="15.75" thickBot="1">
      <c r="B18" s="106" t="s">
        <v>66</v>
      </c>
      <c r="C18" s="107">
        <v>16</v>
      </c>
      <c r="D18" s="107"/>
      <c r="E18" s="107"/>
      <c r="F18" s="107"/>
      <c r="G18" s="108"/>
    </row>
    <row r="19" ht="13.5" thickTop="1"/>
    <row r="21" spans="2:3" s="93" customFormat="1" ht="13.5" thickBot="1">
      <c r="B21" s="85"/>
      <c r="C21" s="85"/>
    </row>
    <row r="22" spans="2:9" s="93" customFormat="1" ht="16.5" thickBot="1" thickTop="1">
      <c r="B22" s="109" t="s">
        <v>73</v>
      </c>
      <c r="C22" s="109" t="s">
        <v>74</v>
      </c>
      <c r="D22" s="109" t="s">
        <v>75</v>
      </c>
      <c r="E22" s="109" t="s">
        <v>76</v>
      </c>
      <c r="F22" s="109" t="s">
        <v>77</v>
      </c>
      <c r="G22" s="109" t="s">
        <v>78</v>
      </c>
      <c r="H22" s="109" t="s">
        <v>79</v>
      </c>
      <c r="I22" s="109" t="s">
        <v>80</v>
      </c>
    </row>
    <row r="23" spans="2:9" ht="15" thickTop="1">
      <c r="B23" s="110">
        <v>0</v>
      </c>
      <c r="C23" s="110"/>
      <c r="D23" s="111">
        <v>-100</v>
      </c>
      <c r="E23" s="110"/>
      <c r="F23" s="110"/>
      <c r="G23" s="110"/>
      <c r="H23" s="110"/>
      <c r="I23" s="110"/>
    </row>
    <row r="24" spans="2:9" ht="14.25">
      <c r="B24" s="110">
        <v>1</v>
      </c>
      <c r="C24" s="112">
        <f>+G14</f>
        <v>0.11937482551645771</v>
      </c>
      <c r="D24" s="111">
        <f>DURACION!$I$13</f>
        <v>2.825</v>
      </c>
      <c r="E24" s="111">
        <f aca="true" t="shared" si="0" ref="E24:E29">PV($C$31,B24,,-D24)</f>
        <v>2.7473863360076236</v>
      </c>
      <c r="F24" s="113">
        <f aca="true" t="shared" si="1" ref="F24:F29">+E24/$E$31</f>
        <v>0.027473863360076237</v>
      </c>
      <c r="G24" s="110">
        <f aca="true" t="shared" si="2" ref="G24:G29">+B24</f>
        <v>1</v>
      </c>
      <c r="H24" s="113">
        <f aca="true" t="shared" si="3" ref="H24:H29">+F24*G24</f>
        <v>0.027473863360076237</v>
      </c>
      <c r="I24" s="110">
        <f aca="true" t="shared" si="4" ref="I24:I29">+H24*(B24+1)</f>
        <v>0.054947726720152475</v>
      </c>
    </row>
    <row r="25" spans="2:9" ht="14.25">
      <c r="B25" s="110">
        <v>2</v>
      </c>
      <c r="C25" s="112">
        <f>+G15</f>
        <v>0.11714143600026361</v>
      </c>
      <c r="D25" s="111">
        <f>DURACION!$I$13</f>
        <v>2.825</v>
      </c>
      <c r="E25" s="111">
        <f t="shared" si="0"/>
        <v>2.6719050192146527</v>
      </c>
      <c r="F25" s="113">
        <f t="shared" si="1"/>
        <v>0.02671905019214653</v>
      </c>
      <c r="G25" s="110">
        <f t="shared" si="2"/>
        <v>2</v>
      </c>
      <c r="H25" s="113">
        <f t="shared" si="3"/>
        <v>0.05343810038429306</v>
      </c>
      <c r="I25" s="110">
        <f t="shared" si="4"/>
        <v>0.16031430115287917</v>
      </c>
    </row>
    <row r="26" spans="2:9" ht="14.25">
      <c r="B26" s="110">
        <v>3</v>
      </c>
      <c r="C26" s="112">
        <f>+G16</f>
        <v>0.15128164598649896</v>
      </c>
      <c r="D26" s="111">
        <f>DURACION!$I$13</f>
        <v>2.825</v>
      </c>
      <c r="E26" s="111">
        <f t="shared" si="0"/>
        <v>2.598497465805495</v>
      </c>
      <c r="F26" s="113">
        <f t="shared" si="1"/>
        <v>0.025984974658054952</v>
      </c>
      <c r="G26" s="110">
        <f t="shared" si="2"/>
        <v>3</v>
      </c>
      <c r="H26" s="113">
        <f t="shared" si="3"/>
        <v>0.07795492397416486</v>
      </c>
      <c r="I26" s="110">
        <f t="shared" si="4"/>
        <v>0.3118196958966594</v>
      </c>
    </row>
    <row r="27" spans="2:9" ht="14.25">
      <c r="B27" s="110">
        <v>4</v>
      </c>
      <c r="C27" s="112">
        <f>$C$26</f>
        <v>0.15128164598649896</v>
      </c>
      <c r="D27" s="111">
        <f>DURACION!$I$13</f>
        <v>2.825</v>
      </c>
      <c r="E27" s="111">
        <f t="shared" si="0"/>
        <v>2.5271067014883024</v>
      </c>
      <c r="F27" s="113">
        <f t="shared" si="1"/>
        <v>0.025271067014883023</v>
      </c>
      <c r="G27" s="110">
        <f t="shared" si="2"/>
        <v>4</v>
      </c>
      <c r="H27" s="113">
        <f t="shared" si="3"/>
        <v>0.10108426805953209</v>
      </c>
      <c r="I27" s="110">
        <f t="shared" si="4"/>
        <v>0.5054213402976605</v>
      </c>
    </row>
    <row r="28" spans="2:9" ht="14.25">
      <c r="B28" s="110">
        <v>5</v>
      </c>
      <c r="C28" s="112">
        <f>$C$26</f>
        <v>0.15128164598649896</v>
      </c>
      <c r="D28" s="111">
        <f>DURACION!$I$13</f>
        <v>2.825</v>
      </c>
      <c r="E28" s="111">
        <f t="shared" si="0"/>
        <v>2.4576773172751354</v>
      </c>
      <c r="F28" s="113">
        <f t="shared" si="1"/>
        <v>0.024576773172751355</v>
      </c>
      <c r="G28" s="110">
        <f t="shared" si="2"/>
        <v>5</v>
      </c>
      <c r="H28" s="113">
        <f t="shared" si="3"/>
        <v>0.12288386586375677</v>
      </c>
      <c r="I28" s="110">
        <f t="shared" si="4"/>
        <v>0.7373031951825406</v>
      </c>
    </row>
    <row r="29" spans="2:9" ht="15" thickBot="1">
      <c r="B29" s="110">
        <v>6</v>
      </c>
      <c r="C29" s="112">
        <f>$C$26</f>
        <v>0.15128164598649896</v>
      </c>
      <c r="D29" s="111">
        <f>DURACION!$I$13+100</f>
        <v>102.825</v>
      </c>
      <c r="E29" s="111">
        <f t="shared" si="0"/>
        <v>86.99742716017681</v>
      </c>
      <c r="F29" s="113">
        <f t="shared" si="1"/>
        <v>0.8699742716017681</v>
      </c>
      <c r="G29" s="110">
        <f t="shared" si="2"/>
        <v>6</v>
      </c>
      <c r="H29" s="113">
        <f t="shared" si="3"/>
        <v>5.219845629610608</v>
      </c>
      <c r="I29" s="110">
        <f t="shared" si="4"/>
        <v>36.53891940727426</v>
      </c>
    </row>
    <row r="30" spans="2:9" ht="15" thickTop="1">
      <c r="B30" s="114" t="s">
        <v>81</v>
      </c>
      <c r="C30" s="115"/>
      <c r="D30" s="116"/>
      <c r="E30" s="115">
        <f>SUM(E24:E29)</f>
        <v>99.99999999996803</v>
      </c>
      <c r="F30" s="116"/>
      <c r="G30" s="116"/>
      <c r="H30" s="116"/>
      <c r="I30" s="117"/>
    </row>
    <row r="31" spans="2:9" ht="14.25">
      <c r="B31" s="118" t="s">
        <v>82</v>
      </c>
      <c r="C31" s="119">
        <f>IRR(D23:D29)</f>
        <v>0.0282500000000588</v>
      </c>
      <c r="D31" s="102"/>
      <c r="E31" s="102">
        <v>100</v>
      </c>
      <c r="F31" s="102"/>
      <c r="G31" s="102" t="s">
        <v>79</v>
      </c>
      <c r="H31" s="101">
        <f>SUM(H24:H29)</f>
        <v>5.602680651252431</v>
      </c>
      <c r="I31" s="105"/>
    </row>
    <row r="32" spans="2:9" ht="14.25">
      <c r="B32" s="100"/>
      <c r="C32" s="102"/>
      <c r="D32" s="102"/>
      <c r="E32" s="102"/>
      <c r="F32" s="102"/>
      <c r="G32" s="102" t="s">
        <v>83</v>
      </c>
      <c r="H32" s="101">
        <f>-H31/(1+C31)</f>
        <v>-5.4487533685894585</v>
      </c>
      <c r="I32" s="105"/>
    </row>
    <row r="33" spans="2:9" ht="15" thickBot="1">
      <c r="B33" s="120" t="s">
        <v>84</v>
      </c>
      <c r="C33" s="130">
        <f>(FV(DURACION!H13,6,DURACION!I13)+100)/100</f>
        <v>-21.365387879449695</v>
      </c>
      <c r="D33" s="107"/>
      <c r="E33" s="107"/>
      <c r="F33" s="107"/>
      <c r="G33" s="107" t="s">
        <v>80</v>
      </c>
      <c r="H33" s="107">
        <f>I29</f>
        <v>36.53891940727426</v>
      </c>
      <c r="I33" s="108"/>
    </row>
    <row r="34" ht="13.5" thickTop="1"/>
    <row r="35" ht="13.5" thickBot="1"/>
    <row r="36" spans="2:7" s="93" customFormat="1" ht="16.5" thickTop="1">
      <c r="B36" s="90" t="s">
        <v>85</v>
      </c>
      <c r="C36" s="91"/>
      <c r="D36" s="91"/>
      <c r="E36" s="91"/>
      <c r="F36" s="91"/>
      <c r="G36" s="92"/>
    </row>
    <row r="37" spans="2:7" s="93" customFormat="1" ht="12.75">
      <c r="B37" s="94"/>
      <c r="C37" s="95"/>
      <c r="D37" s="95"/>
      <c r="E37" s="95"/>
      <c r="F37" s="95"/>
      <c r="G37" s="96"/>
    </row>
    <row r="38" spans="2:9" ht="15">
      <c r="B38" s="121" t="s">
        <v>64</v>
      </c>
      <c r="C38" s="122" t="s">
        <v>65</v>
      </c>
      <c r="D38" s="122" t="s">
        <v>66</v>
      </c>
      <c r="E38" s="122" t="s">
        <v>67</v>
      </c>
      <c r="F38" s="122" t="s">
        <v>68</v>
      </c>
      <c r="G38" s="123" t="s">
        <v>69</v>
      </c>
      <c r="H38" s="124"/>
      <c r="I38" s="124"/>
    </row>
    <row r="39" spans="2:9" ht="14.25">
      <c r="B39" s="125" t="s">
        <v>70</v>
      </c>
      <c r="C39" s="126">
        <v>29</v>
      </c>
      <c r="D39" s="127">
        <f>+$C$44</f>
        <v>0</v>
      </c>
      <c r="E39" s="126">
        <f>(((1+(C39/100))/(1+(D39/100)))-1)*100</f>
        <v>29.000000000000004</v>
      </c>
      <c r="F39" s="126">
        <f>+(((E39/100)+1)^(0.5)-1)*100</f>
        <v>13.578166916005463</v>
      </c>
      <c r="G39" s="128">
        <f>+F39/100</f>
        <v>0.13578166916005463</v>
      </c>
      <c r="H39" s="124"/>
      <c r="I39" s="124"/>
    </row>
    <row r="40" spans="2:9" ht="14.25">
      <c r="B40" s="100" t="s">
        <v>71</v>
      </c>
      <c r="C40" s="101">
        <v>30</v>
      </c>
      <c r="D40" s="102">
        <f>+$C$44</f>
        <v>0</v>
      </c>
      <c r="E40" s="101">
        <f>(((1+(C40/100))/(1+(D40/100)))-1)*100</f>
        <v>30.000000000000004</v>
      </c>
      <c r="F40" s="101">
        <f>+(((E40/100)+1)^(0.5)-1)*100</f>
        <v>14.017542509913806</v>
      </c>
      <c r="G40" s="103">
        <f>((((1+(F40/100))^2)/(1+(F39/100)))-1)</f>
        <v>0.14458617822331132</v>
      </c>
      <c r="H40" s="124"/>
      <c r="I40" s="124"/>
    </row>
    <row r="41" spans="2:9" ht="14.25">
      <c r="B41" s="100" t="s">
        <v>72</v>
      </c>
      <c r="C41" s="101">
        <v>30.5</v>
      </c>
      <c r="D41" s="102">
        <f>+$C$44</f>
        <v>0</v>
      </c>
      <c r="E41" s="101">
        <f>(((1+(C41/100))/(1+(D41/100)))-1)*100</f>
        <v>30.499999999999993</v>
      </c>
      <c r="F41" s="101">
        <f>+(((E41/100)+1)^(0.5)-1)*100</f>
        <v>14.236596587958616</v>
      </c>
      <c r="G41" s="103">
        <f>((((1+(F41/100))^3)/((1+(F40/100))^2))-1)</f>
        <v>0.14675968113296878</v>
      </c>
      <c r="H41" s="124"/>
      <c r="I41" s="124"/>
    </row>
    <row r="42" spans="2:9" ht="14.25">
      <c r="B42" s="100"/>
      <c r="C42" s="102"/>
      <c r="D42" s="102"/>
      <c r="E42" s="102"/>
      <c r="F42" s="102"/>
      <c r="G42" s="105"/>
      <c r="H42" s="124"/>
      <c r="I42" s="124"/>
    </row>
    <row r="43" spans="2:9" ht="15.75" thickBot="1">
      <c r="B43" s="106" t="s">
        <v>66</v>
      </c>
      <c r="C43" s="107">
        <v>16</v>
      </c>
      <c r="D43" s="107"/>
      <c r="E43" s="107"/>
      <c r="F43" s="107"/>
      <c r="G43" s="108"/>
      <c r="H43" s="124"/>
      <c r="I43" s="124"/>
    </row>
    <row r="44" spans="2:9" ht="15" thickTop="1">
      <c r="B44" s="124"/>
      <c r="C44" s="124"/>
      <c r="D44" s="124"/>
      <c r="E44" s="124"/>
      <c r="F44" s="124"/>
      <c r="G44" s="124"/>
      <c r="H44" s="124"/>
      <c r="I44" s="124"/>
    </row>
    <row r="45" spans="2:9" ht="14.25">
      <c r="B45" s="124"/>
      <c r="C45" s="124"/>
      <c r="D45" s="124"/>
      <c r="E45" s="124"/>
      <c r="F45" s="124"/>
      <c r="G45" s="124"/>
      <c r="H45" s="124"/>
      <c r="I45" s="124"/>
    </row>
    <row r="46" spans="2:9" ht="15.75" thickBot="1">
      <c r="B46" s="83"/>
      <c r="C46" s="83"/>
      <c r="D46" s="124"/>
      <c r="E46" s="124"/>
      <c r="F46" s="124"/>
      <c r="G46" s="124"/>
      <c r="H46" s="124"/>
      <c r="I46" s="124"/>
    </row>
    <row r="47" spans="2:9" s="93" customFormat="1" ht="16.5" thickBot="1" thickTop="1">
      <c r="B47" s="109" t="s">
        <v>73</v>
      </c>
      <c r="C47" s="109" t="s">
        <v>74</v>
      </c>
      <c r="D47" s="109" t="s">
        <v>75</v>
      </c>
      <c r="E47" s="109" t="s">
        <v>76</v>
      </c>
      <c r="F47" s="109" t="s">
        <v>77</v>
      </c>
      <c r="G47" s="109" t="s">
        <v>78</v>
      </c>
      <c r="H47" s="109" t="s">
        <v>79</v>
      </c>
      <c r="I47" s="109" t="s">
        <v>80</v>
      </c>
    </row>
    <row r="48" spans="2:9" ht="15" thickTop="1">
      <c r="B48" s="110">
        <v>0</v>
      </c>
      <c r="C48" s="110"/>
      <c r="D48" s="111">
        <v>-100</v>
      </c>
      <c r="E48" s="110"/>
      <c r="F48" s="110"/>
      <c r="G48" s="110"/>
      <c r="H48" s="110"/>
      <c r="I48" s="110"/>
    </row>
    <row r="49" spans="2:9" ht="14.25">
      <c r="B49" s="110">
        <v>1</v>
      </c>
      <c r="C49" s="112">
        <f>+G39</f>
        <v>0.13578166916005463</v>
      </c>
      <c r="D49" s="111">
        <f>DURACION!$I$32</f>
        <v>3.0625</v>
      </c>
      <c r="E49" s="111">
        <f aca="true" t="shared" si="5" ref="E49:E54">PV($C$56,B49,,-D49)</f>
        <v>2.971497877501442</v>
      </c>
      <c r="F49" s="113">
        <f aca="true" t="shared" si="6" ref="F49:F54">+E49/$E$31</f>
        <v>0.02971497877501442</v>
      </c>
      <c r="G49" s="110">
        <f aca="true" t="shared" si="7" ref="G49:G54">+B49</f>
        <v>1</v>
      </c>
      <c r="H49" s="113">
        <f aca="true" t="shared" si="8" ref="H49:H54">+F49*G49</f>
        <v>0.02971497877501442</v>
      </c>
      <c r="I49" s="110">
        <f aca="true" t="shared" si="9" ref="I49:I54">+H49*(B49+1)</f>
        <v>0.05942995755002884</v>
      </c>
    </row>
    <row r="50" spans="2:9" ht="14.25">
      <c r="B50" s="110">
        <v>2</v>
      </c>
      <c r="C50" s="112">
        <f>+G40</f>
        <v>0.14458617822331132</v>
      </c>
      <c r="D50" s="111">
        <f>DURACION!$I$32</f>
        <v>3.0625</v>
      </c>
      <c r="E50" s="111">
        <f t="shared" si="5"/>
        <v>2.8831998811414126</v>
      </c>
      <c r="F50" s="113">
        <f t="shared" si="6"/>
        <v>0.028831998811414124</v>
      </c>
      <c r="G50" s="110">
        <f t="shared" si="7"/>
        <v>2</v>
      </c>
      <c r="H50" s="113">
        <f t="shared" si="8"/>
        <v>0.05766399762282825</v>
      </c>
      <c r="I50" s="110">
        <f t="shared" si="9"/>
        <v>0.17299199286848474</v>
      </c>
    </row>
    <row r="51" spans="2:9" ht="14.25">
      <c r="B51" s="110">
        <v>3</v>
      </c>
      <c r="C51" s="112">
        <f>+G41</f>
        <v>0.14675968113296878</v>
      </c>
      <c r="D51" s="111">
        <f>DURACION!$I$32</f>
        <v>3.0625</v>
      </c>
      <c r="E51" s="111">
        <f t="shared" si="5"/>
        <v>2.7975256578691</v>
      </c>
      <c r="F51" s="113">
        <f t="shared" si="6"/>
        <v>0.027975256578691</v>
      </c>
      <c r="G51" s="110">
        <f t="shared" si="7"/>
        <v>3</v>
      </c>
      <c r="H51" s="113">
        <f t="shared" si="8"/>
        <v>0.08392576973607299</v>
      </c>
      <c r="I51" s="110">
        <f t="shared" si="9"/>
        <v>0.33570307894429197</v>
      </c>
    </row>
    <row r="52" spans="2:9" ht="14.25">
      <c r="B52" s="110">
        <v>4</v>
      </c>
      <c r="C52" s="112">
        <f>$C$51</f>
        <v>0.14675968113296878</v>
      </c>
      <c r="D52" s="111">
        <f>DURACION!$I$32</f>
        <v>3.0625</v>
      </c>
      <c r="E52" s="111">
        <f t="shared" si="5"/>
        <v>2.7143972423228915</v>
      </c>
      <c r="F52" s="113">
        <f t="shared" si="6"/>
        <v>0.027143972423228916</v>
      </c>
      <c r="G52" s="110">
        <f t="shared" si="7"/>
        <v>4</v>
      </c>
      <c r="H52" s="113">
        <f t="shared" si="8"/>
        <v>0.10857588969291566</v>
      </c>
      <c r="I52" s="110">
        <f t="shared" si="9"/>
        <v>0.5428794484645784</v>
      </c>
    </row>
    <row r="53" spans="2:9" ht="14.25">
      <c r="B53" s="110">
        <v>5</v>
      </c>
      <c r="C53" s="112">
        <f>$C$51</f>
        <v>0.14675968113296878</v>
      </c>
      <c r="D53" s="111">
        <f>DURACION!$I$32</f>
        <v>3.0625</v>
      </c>
      <c r="E53" s="111">
        <f t="shared" si="5"/>
        <v>2.633738985880241</v>
      </c>
      <c r="F53" s="113">
        <f t="shared" si="6"/>
        <v>0.02633738985880241</v>
      </c>
      <c r="G53" s="110">
        <f t="shared" si="7"/>
        <v>5</v>
      </c>
      <c r="H53" s="113">
        <f t="shared" si="8"/>
        <v>0.13168694929401206</v>
      </c>
      <c r="I53" s="110">
        <f t="shared" si="9"/>
        <v>0.7901216957640724</v>
      </c>
    </row>
    <row r="54" spans="2:9" ht="15" thickBot="1">
      <c r="B54" s="110">
        <v>6</v>
      </c>
      <c r="C54" s="112">
        <f>$C$51</f>
        <v>0.14675968113296878</v>
      </c>
      <c r="D54" s="111">
        <f>DURACION!$I$32+100</f>
        <v>103.0625</v>
      </c>
      <c r="E54" s="111">
        <f t="shared" si="5"/>
        <v>85.99964035527105</v>
      </c>
      <c r="F54" s="113">
        <f t="shared" si="6"/>
        <v>0.8599964035527106</v>
      </c>
      <c r="G54" s="110">
        <f t="shared" si="7"/>
        <v>6</v>
      </c>
      <c r="H54" s="113">
        <f t="shared" si="8"/>
        <v>5.159978421316263</v>
      </c>
      <c r="I54" s="110">
        <f t="shared" si="9"/>
        <v>36.119848949213846</v>
      </c>
    </row>
    <row r="55" spans="2:9" ht="15" thickTop="1">
      <c r="B55" s="114" t="s">
        <v>81</v>
      </c>
      <c r="C55" s="115"/>
      <c r="D55" s="116"/>
      <c r="E55" s="115">
        <f>SUM(E49:E54)</f>
        <v>99.99999999998614</v>
      </c>
      <c r="F55" s="116"/>
      <c r="G55" s="116"/>
      <c r="H55" s="116"/>
      <c r="I55" s="117"/>
    </row>
    <row r="56" spans="2:9" ht="14.25">
      <c r="B56" s="118" t="s">
        <v>82</v>
      </c>
      <c r="C56" s="119">
        <f>IRR(D48:D54)</f>
        <v>0.03062500000002558</v>
      </c>
      <c r="D56" s="102"/>
      <c r="E56" s="102"/>
      <c r="F56" s="102"/>
      <c r="G56" s="102" t="s">
        <v>79</v>
      </c>
      <c r="H56" s="101">
        <f>SUM(H49:H53)</f>
        <v>0.41156758512084335</v>
      </c>
      <c r="I56" s="105"/>
    </row>
    <row r="57" spans="2:9" ht="14.25">
      <c r="B57" s="100"/>
      <c r="C57" s="102"/>
      <c r="D57" s="102"/>
      <c r="E57" s="102"/>
      <c r="F57" s="102"/>
      <c r="G57" s="102" t="s">
        <v>83</v>
      </c>
      <c r="H57" s="101">
        <f>-H56/(1+C56)</f>
        <v>-0.3993378630644833</v>
      </c>
      <c r="I57" s="105"/>
    </row>
    <row r="58" spans="2:9" ht="15" thickBot="1">
      <c r="B58" s="120" t="s">
        <v>84</v>
      </c>
      <c r="C58" s="131">
        <f>(FV(DURACION!H32,6,DURACION!I32)+100)/100</f>
        <v>-25.970793172736002</v>
      </c>
      <c r="D58" s="107"/>
      <c r="E58" s="107"/>
      <c r="F58" s="107"/>
      <c r="G58" s="107" t="s">
        <v>80</v>
      </c>
      <c r="H58" s="129">
        <f>I54</f>
        <v>36.119848949213846</v>
      </c>
      <c r="I58" s="108"/>
    </row>
    <row r="59" spans="2:9" ht="15" thickTop="1">
      <c r="B59" s="124"/>
      <c r="C59" s="124"/>
      <c r="D59" s="124"/>
      <c r="E59" s="124"/>
      <c r="F59" s="124"/>
      <c r="G59" s="124"/>
      <c r="H59" s="124"/>
      <c r="I59" s="124"/>
    </row>
    <row r="62" ht="13.5" thickBot="1"/>
    <row r="63" spans="2:7" s="93" customFormat="1" ht="16.5" thickTop="1">
      <c r="B63" s="90" t="s">
        <v>86</v>
      </c>
      <c r="C63" s="91"/>
      <c r="D63" s="91"/>
      <c r="E63" s="91"/>
      <c r="F63" s="91"/>
      <c r="G63" s="92"/>
    </row>
    <row r="64" spans="2:7" s="93" customFormat="1" ht="12.75">
      <c r="B64" s="94"/>
      <c r="C64" s="95"/>
      <c r="D64" s="95"/>
      <c r="E64" s="95"/>
      <c r="F64" s="95"/>
      <c r="G64" s="96"/>
    </row>
    <row r="65" spans="2:9" ht="15">
      <c r="B65" s="121" t="s">
        <v>64</v>
      </c>
      <c r="C65" s="122" t="s">
        <v>65</v>
      </c>
      <c r="D65" s="122" t="s">
        <v>66</v>
      </c>
      <c r="E65" s="122" t="s">
        <v>67</v>
      </c>
      <c r="F65" s="122" t="s">
        <v>68</v>
      </c>
      <c r="G65" s="123" t="s">
        <v>69</v>
      </c>
      <c r="H65" s="124"/>
      <c r="I65" s="124"/>
    </row>
    <row r="66" spans="2:9" ht="14.25">
      <c r="B66" s="125" t="s">
        <v>70</v>
      </c>
      <c r="C66" s="126">
        <v>25.4</v>
      </c>
      <c r="D66" s="127">
        <f>+$C$71</f>
        <v>0</v>
      </c>
      <c r="E66" s="126">
        <f>(((1+(C66/100))/(1+(D66/100)))-1)*100</f>
        <v>25.4</v>
      </c>
      <c r="F66" s="126">
        <f>+(((E66/100)+1)^(0.5)-1)*100</f>
        <v>11.982141433355341</v>
      </c>
      <c r="G66" s="128">
        <f>+F66/100</f>
        <v>0.11982141433355341</v>
      </c>
      <c r="H66" s="124"/>
      <c r="I66" s="124"/>
    </row>
    <row r="67" spans="2:9" ht="14.25">
      <c r="B67" s="100" t="s">
        <v>71</v>
      </c>
      <c r="C67" s="101">
        <v>26</v>
      </c>
      <c r="D67" s="102">
        <f>+$C$71</f>
        <v>0</v>
      </c>
      <c r="E67" s="101">
        <f>(((1+(C67/100))/(1+(D67/100)))-1)*100</f>
        <v>26</v>
      </c>
      <c r="F67" s="101">
        <f>+(((E67/100)+1)^(0.5)-1)*100</f>
        <v>12.249721603218244</v>
      </c>
      <c r="G67" s="103">
        <f>((((1+(F67/100))^2)/(1+(F66/100)))-1)</f>
        <v>0.12517941153132162</v>
      </c>
      <c r="H67" s="124"/>
      <c r="I67" s="124"/>
    </row>
    <row r="68" spans="2:9" ht="14.25">
      <c r="B68" s="100" t="s">
        <v>72</v>
      </c>
      <c r="C68" s="101">
        <v>27.5</v>
      </c>
      <c r="D68" s="102">
        <f>+$C$71</f>
        <v>0</v>
      </c>
      <c r="E68" s="101">
        <f>(((1+(C68/100))/(1+(D68/100)))-1)*100</f>
        <v>27.499999999999993</v>
      </c>
      <c r="F68" s="101">
        <f>+(((E68/100)+1)^(0.5)-1)*100</f>
        <v>12.91589790636214</v>
      </c>
      <c r="G68" s="103">
        <f>((((1+(F68/100))^3)/((1+(F67/100))^2))-1)</f>
        <v>0.14260134786199763</v>
      </c>
      <c r="H68" s="124"/>
      <c r="I68" s="124"/>
    </row>
    <row r="69" spans="2:9" ht="14.25">
      <c r="B69" s="100"/>
      <c r="C69" s="102"/>
      <c r="D69" s="102"/>
      <c r="E69" s="102"/>
      <c r="F69" s="102"/>
      <c r="G69" s="105"/>
      <c r="H69" s="124"/>
      <c r="I69" s="124"/>
    </row>
    <row r="70" spans="2:9" ht="15.75" thickBot="1">
      <c r="B70" s="106" t="s">
        <v>66</v>
      </c>
      <c r="C70" s="107">
        <v>16</v>
      </c>
      <c r="D70" s="107"/>
      <c r="E70" s="107"/>
      <c r="F70" s="107"/>
      <c r="G70" s="108"/>
      <c r="H70" s="124"/>
      <c r="I70" s="124"/>
    </row>
    <row r="71" spans="2:9" ht="15" thickTop="1">
      <c r="B71" s="124"/>
      <c r="C71" s="124"/>
      <c r="D71" s="124"/>
      <c r="E71" s="124"/>
      <c r="F71" s="124"/>
      <c r="G71" s="124"/>
      <c r="H71" s="124"/>
      <c r="I71" s="124"/>
    </row>
    <row r="72" spans="2:9" ht="14.25">
      <c r="B72" s="124"/>
      <c r="C72" s="124"/>
      <c r="D72" s="124"/>
      <c r="E72" s="124"/>
      <c r="F72" s="124"/>
      <c r="G72" s="124"/>
      <c r="H72" s="124"/>
      <c r="I72" s="124"/>
    </row>
    <row r="73" spans="2:9" ht="15.75" thickBot="1">
      <c r="B73" s="83"/>
      <c r="C73" s="83"/>
      <c r="D73" s="124"/>
      <c r="E73" s="124"/>
      <c r="F73" s="124"/>
      <c r="G73" s="124"/>
      <c r="H73" s="124"/>
      <c r="I73" s="124"/>
    </row>
    <row r="74" spans="2:9" s="93" customFormat="1" ht="16.5" thickBot="1" thickTop="1">
      <c r="B74" s="109" t="s">
        <v>73</v>
      </c>
      <c r="C74" s="109" t="s">
        <v>74</v>
      </c>
      <c r="D74" s="109" t="s">
        <v>75</v>
      </c>
      <c r="E74" s="109" t="s">
        <v>76</v>
      </c>
      <c r="F74" s="109" t="s">
        <v>77</v>
      </c>
      <c r="G74" s="109" t="s">
        <v>78</v>
      </c>
      <c r="H74" s="109" t="s">
        <v>79</v>
      </c>
      <c r="I74" s="109" t="s">
        <v>80</v>
      </c>
    </row>
    <row r="75" spans="2:9" ht="15" thickTop="1">
      <c r="B75" s="110">
        <v>0</v>
      </c>
      <c r="C75" s="110"/>
      <c r="D75" s="111">
        <v>-100</v>
      </c>
      <c r="E75" s="110"/>
      <c r="F75" s="110"/>
      <c r="G75" s="110"/>
      <c r="H75" s="110"/>
      <c r="I75" s="110"/>
    </row>
    <row r="76" spans="2:9" ht="14.25">
      <c r="B76" s="110">
        <v>1</v>
      </c>
      <c r="C76" s="112">
        <f>+G66</f>
        <v>0.11982141433355341</v>
      </c>
      <c r="D76" s="111">
        <f>DURACION!$I$50</f>
        <v>3.35</v>
      </c>
      <c r="E76" s="111">
        <f>PV($C$85,B76,,-D76)</f>
        <v>3.2414126753703005</v>
      </c>
      <c r="F76" s="113">
        <f aca="true" t="shared" si="10" ref="F76:F83">+E76/$E$31</f>
        <v>0.032414126753703004</v>
      </c>
      <c r="G76" s="110">
        <f aca="true" t="shared" si="11" ref="G76:G83">+B76</f>
        <v>1</v>
      </c>
      <c r="H76" s="113">
        <f aca="true" t="shared" si="12" ref="H76:H83">+F76*G76</f>
        <v>0.032414126753703004</v>
      </c>
      <c r="I76" s="110">
        <f aca="true" t="shared" si="13" ref="I76:I83">+H76*(B76+1)</f>
        <v>0.06482825350740601</v>
      </c>
    </row>
    <row r="77" spans="2:9" ht="14.25">
      <c r="B77" s="110">
        <v>2</v>
      </c>
      <c r="C77" s="112">
        <f>+G67</f>
        <v>0.12517941153132162</v>
      </c>
      <c r="D77" s="111">
        <f>DURACION!$I$50</f>
        <v>3.35</v>
      </c>
      <c r="E77" s="111">
        <f aca="true" t="shared" si="14" ref="E77:E83">PV($C$85,B77,,-D77)</f>
        <v>3.136345114045149</v>
      </c>
      <c r="F77" s="113">
        <f t="shared" si="10"/>
        <v>0.03136345114045149</v>
      </c>
      <c r="G77" s="110">
        <f t="shared" si="11"/>
        <v>2</v>
      </c>
      <c r="H77" s="113">
        <f t="shared" si="12"/>
        <v>0.06272690228090298</v>
      </c>
      <c r="I77" s="110">
        <f t="shared" si="13"/>
        <v>0.18818070684270893</v>
      </c>
    </row>
    <row r="78" spans="2:9" ht="14.25">
      <c r="B78" s="110">
        <v>3</v>
      </c>
      <c r="C78" s="112">
        <f>+G68</f>
        <v>0.14260134786199763</v>
      </c>
      <c r="D78" s="111">
        <f>DURACION!$I$50</f>
        <v>3.35</v>
      </c>
      <c r="E78" s="111">
        <f t="shared" si="14"/>
        <v>3.0346832259706438</v>
      </c>
      <c r="F78" s="113">
        <f t="shared" si="10"/>
        <v>0.030346832259706438</v>
      </c>
      <c r="G78" s="110">
        <f t="shared" si="11"/>
        <v>3</v>
      </c>
      <c r="H78" s="113">
        <f t="shared" si="12"/>
        <v>0.09104049677911931</v>
      </c>
      <c r="I78" s="110">
        <f t="shared" si="13"/>
        <v>0.36416198711647724</v>
      </c>
    </row>
    <row r="79" spans="2:9" ht="14.25">
      <c r="B79" s="110">
        <v>4</v>
      </c>
      <c r="C79" s="112">
        <f>$C$78</f>
        <v>0.14260134786199763</v>
      </c>
      <c r="D79" s="111">
        <f>DURACION!$I$50</f>
        <v>3.35</v>
      </c>
      <c r="E79" s="111">
        <f t="shared" si="14"/>
        <v>2.9363166192223513</v>
      </c>
      <c r="F79" s="113">
        <f t="shared" si="10"/>
        <v>0.029363166192223514</v>
      </c>
      <c r="G79" s="110">
        <f t="shared" si="11"/>
        <v>4</v>
      </c>
      <c r="H79" s="113">
        <f t="shared" si="12"/>
        <v>0.11745266476889406</v>
      </c>
      <c r="I79" s="110">
        <f t="shared" si="13"/>
        <v>0.5872633238444703</v>
      </c>
    </row>
    <row r="80" spans="2:9" ht="14.25">
      <c r="B80" s="110">
        <v>5</v>
      </c>
      <c r="C80" s="112">
        <f>$C$78</f>
        <v>0.14260134786199763</v>
      </c>
      <c r="D80" s="111">
        <f>DURACION!$I$50</f>
        <v>3.35</v>
      </c>
      <c r="E80" s="111">
        <f t="shared" si="14"/>
        <v>2.8411384801336714</v>
      </c>
      <c r="F80" s="113">
        <f t="shared" si="10"/>
        <v>0.028411384801336714</v>
      </c>
      <c r="G80" s="110">
        <f t="shared" si="11"/>
        <v>5</v>
      </c>
      <c r="H80" s="113">
        <f t="shared" si="12"/>
        <v>0.14205692400668357</v>
      </c>
      <c r="I80" s="110">
        <f t="shared" si="13"/>
        <v>0.8523415440401014</v>
      </c>
    </row>
    <row r="81" spans="2:9" ht="14.25">
      <c r="B81" s="110">
        <v>6</v>
      </c>
      <c r="C81" s="112">
        <f>$C$78</f>
        <v>0.14260134786199763</v>
      </c>
      <c r="D81" s="111">
        <f>DURACION!$I$50</f>
        <v>3.35</v>
      </c>
      <c r="E81" s="111">
        <f t="shared" si="14"/>
        <v>2.749045457309729</v>
      </c>
      <c r="F81" s="113">
        <f t="shared" si="10"/>
        <v>0.02749045457309729</v>
      </c>
      <c r="G81" s="110">
        <f t="shared" si="11"/>
        <v>6</v>
      </c>
      <c r="H81" s="113">
        <f t="shared" si="12"/>
        <v>0.16494272743858374</v>
      </c>
      <c r="I81" s="110">
        <f t="shared" si="13"/>
        <v>1.1545990920700862</v>
      </c>
    </row>
    <row r="82" spans="2:9" ht="14.25">
      <c r="B82" s="110">
        <v>7</v>
      </c>
      <c r="C82" s="112">
        <f>$C$78</f>
        <v>0.14260134786199763</v>
      </c>
      <c r="D82" s="111">
        <f>DURACION!$I$50</f>
        <v>3.35</v>
      </c>
      <c r="E82" s="111">
        <f t="shared" si="14"/>
        <v>2.6599375494008655</v>
      </c>
      <c r="F82" s="113">
        <f t="shared" si="10"/>
        <v>0.026599375494008655</v>
      </c>
      <c r="G82" s="110">
        <f t="shared" si="11"/>
        <v>7</v>
      </c>
      <c r="H82" s="113">
        <f t="shared" si="12"/>
        <v>0.1861956284580606</v>
      </c>
      <c r="I82" s="110">
        <f t="shared" si="13"/>
        <v>1.4895650276644847</v>
      </c>
    </row>
    <row r="83" spans="2:9" ht="15" thickBot="1">
      <c r="B83" s="110">
        <v>8</v>
      </c>
      <c r="C83" s="112">
        <f>$C$78</f>
        <v>0.14260134786199763</v>
      </c>
      <c r="D83" s="111">
        <f>DURACION!$I$50+100</f>
        <v>103.35</v>
      </c>
      <c r="E83" s="111">
        <f t="shared" si="14"/>
        <v>79.40112087752412</v>
      </c>
      <c r="F83" s="113">
        <f t="shared" si="10"/>
        <v>0.7940112087752412</v>
      </c>
      <c r="G83" s="110">
        <f t="shared" si="11"/>
        <v>8</v>
      </c>
      <c r="H83" s="113">
        <f t="shared" si="12"/>
        <v>6.35208967020193</v>
      </c>
      <c r="I83" s="110">
        <f t="shared" si="13"/>
        <v>57.168807031817366</v>
      </c>
    </row>
    <row r="84" spans="2:9" ht="15" thickTop="1">
      <c r="B84" s="114" t="s">
        <v>81</v>
      </c>
      <c r="C84" s="115"/>
      <c r="D84" s="116"/>
      <c r="E84" s="115">
        <f>SUM(E76:E83)</f>
        <v>99.99999999897683</v>
      </c>
      <c r="F84" s="116"/>
      <c r="G84" s="116"/>
      <c r="H84" s="116"/>
      <c r="I84" s="117"/>
    </row>
    <row r="85" spans="2:9" ht="14.25">
      <c r="B85" s="118" t="s">
        <v>82</v>
      </c>
      <c r="C85" s="119">
        <f>IRR(D75:D83)</f>
        <v>0.033500000001479166</v>
      </c>
      <c r="D85" s="102"/>
      <c r="E85" s="102"/>
      <c r="F85" s="102"/>
      <c r="G85" s="102" t="s">
        <v>79</v>
      </c>
      <c r="H85" s="101">
        <f>SUM(H76:H79)</f>
        <v>0.30363419058261937</v>
      </c>
      <c r="I85" s="105"/>
    </row>
    <row r="86" spans="2:9" ht="14.25">
      <c r="B86" s="100"/>
      <c r="C86" s="102"/>
      <c r="D86" s="102"/>
      <c r="E86" s="102"/>
      <c r="F86" s="102"/>
      <c r="G86" s="102" t="s">
        <v>83</v>
      </c>
      <c r="H86" s="101">
        <f>-H85/(1+C85)</f>
        <v>-0.29379215344188175</v>
      </c>
      <c r="I86" s="105"/>
    </row>
    <row r="87" spans="2:9" ht="15" thickBot="1">
      <c r="B87" s="120" t="s">
        <v>84</v>
      </c>
      <c r="C87" s="131">
        <f>(FV(DURACION!H50,8,DURACION!I50)+100)/100</f>
        <v>-395.06192589046356</v>
      </c>
      <c r="D87" s="107"/>
      <c r="E87" s="107"/>
      <c r="F87" s="107"/>
      <c r="G87" s="107" t="s">
        <v>80</v>
      </c>
      <c r="H87" s="129">
        <f>I79</f>
        <v>0.5872633238444703</v>
      </c>
      <c r="I87" s="108"/>
    </row>
    <row r="88" spans="2:9" ht="15" thickTop="1">
      <c r="B88" s="124"/>
      <c r="C88" s="124"/>
      <c r="D88" s="124"/>
      <c r="E88" s="124"/>
      <c r="F88" s="124"/>
      <c r="G88" s="124"/>
      <c r="H88" s="124"/>
      <c r="I88" s="124"/>
    </row>
  </sheetData>
  <sheetProtection/>
  <hyperlinks>
    <hyperlink ref="B5" r:id="rId1" display="www.gacetafinanciera.com"/>
  </hyperlinks>
  <printOptions/>
  <pageMargins left="0.75" right="0.75" top="1" bottom="1" header="0.511811024" footer="0.511811024"/>
  <pageSetup horizontalDpi="300" verticalDpi="300" orientation="landscape" r:id="rId3"/>
  <headerFooter alignWithMargins="0">
    <oddHeader>&amp;R&amp;"Arial,Negrita"&amp;8FERNANDO DE JESÚS FRANCO CUARTAS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J54"/>
  <sheetViews>
    <sheetView showGridLines="0" zoomScalePageLayoutView="0" workbookViewId="0" topLeftCell="A43">
      <selection activeCell="F18" sqref="F18"/>
    </sheetView>
  </sheetViews>
  <sheetFormatPr defaultColWidth="11.421875" defaultRowHeight="12.75"/>
  <cols>
    <col min="1" max="1" width="4.00390625" style="0" customWidth="1"/>
    <col min="2" max="2" width="19.421875" style="1" customWidth="1"/>
    <col min="3" max="3" width="13.8515625" style="1" customWidth="1"/>
    <col min="4" max="4" width="6.7109375" style="1" customWidth="1"/>
    <col min="5" max="5" width="24.140625" style="1" customWidth="1"/>
    <col min="6" max="6" width="16.28125" style="1" customWidth="1"/>
    <col min="7" max="7" width="12.57421875" style="1" customWidth="1"/>
    <col min="8" max="8" width="15.421875" style="1" customWidth="1"/>
    <col min="9" max="9" width="16.57421875" style="1" customWidth="1"/>
    <col min="10" max="10" width="12.140625" style="0" customWidth="1"/>
  </cols>
  <sheetData>
    <row r="1" spans="2:9" ht="12.75">
      <c r="B1"/>
      <c r="I1"/>
    </row>
    <row r="2" spans="2:9" ht="12.75">
      <c r="B2"/>
      <c r="I2"/>
    </row>
    <row r="3" spans="2:9" ht="12.75">
      <c r="B3"/>
      <c r="I3"/>
    </row>
    <row r="4" spans="2:9" ht="12.75">
      <c r="B4"/>
      <c r="I4"/>
    </row>
    <row r="5" spans="2:9" ht="12.75">
      <c r="B5" s="137" t="s">
        <v>111</v>
      </c>
      <c r="I5"/>
    </row>
    <row r="6" spans="2:9" ht="12.75">
      <c r="B6"/>
      <c r="I6"/>
    </row>
    <row r="9" ht="13.5" thickBot="1"/>
    <row r="10" spans="2:10" s="13" customFormat="1" ht="16.5" thickBot="1" thickTop="1">
      <c r="B10" s="27" t="s">
        <v>87</v>
      </c>
      <c r="C10" s="40" t="s">
        <v>88</v>
      </c>
      <c r="D10" s="40"/>
      <c r="E10" s="27" t="s">
        <v>89</v>
      </c>
      <c r="F10" s="27" t="s">
        <v>90</v>
      </c>
      <c r="G10" s="27" t="s">
        <v>2</v>
      </c>
      <c r="H10" s="27" t="s">
        <v>91</v>
      </c>
      <c r="I10" s="27" t="s">
        <v>92</v>
      </c>
      <c r="J10" s="41" t="s">
        <v>5</v>
      </c>
    </row>
    <row r="11" spans="2:10" ht="13.5" thickTop="1">
      <c r="B11" s="42" t="s">
        <v>58</v>
      </c>
      <c r="C11" s="43">
        <f>DURACION!C12</f>
        <v>100</v>
      </c>
      <c r="D11" s="43"/>
      <c r="E11" s="44">
        <v>38776</v>
      </c>
      <c r="F11" s="44">
        <v>39846</v>
      </c>
      <c r="G11" s="45">
        <v>5.65</v>
      </c>
      <c r="H11" s="46" t="s">
        <v>93</v>
      </c>
      <c r="I11" s="45">
        <f>DURACION!I13</f>
        <v>2.825</v>
      </c>
      <c r="J11" s="45">
        <f>DURACION!G13</f>
        <v>5.606100063954307</v>
      </c>
    </row>
    <row r="12" spans="2:10" ht="12.75">
      <c r="B12" s="42" t="s">
        <v>59</v>
      </c>
      <c r="C12" s="43">
        <f>DURACION!C31</f>
        <v>100</v>
      </c>
      <c r="D12" s="43"/>
      <c r="E12" s="44">
        <v>38776</v>
      </c>
      <c r="F12" s="44">
        <v>39872</v>
      </c>
      <c r="G12" s="46">
        <v>6.125</v>
      </c>
      <c r="H12" s="46" t="s">
        <v>93</v>
      </c>
      <c r="I12" s="45">
        <f>DURACION!I32</f>
        <v>3.0625</v>
      </c>
      <c r="J12" s="45">
        <f>DURACION!G32</f>
        <v>5.577287785129394</v>
      </c>
    </row>
    <row r="13" spans="2:10" ht="12.75">
      <c r="B13" s="42" t="s">
        <v>60</v>
      </c>
      <c r="C13" s="43">
        <f>DURACION!C49</f>
        <v>100</v>
      </c>
      <c r="D13" s="43"/>
      <c r="E13" s="44">
        <v>38776</v>
      </c>
      <c r="F13" s="44">
        <v>40237</v>
      </c>
      <c r="G13" s="45">
        <v>6.7</v>
      </c>
      <c r="H13" s="46" t="s">
        <v>93</v>
      </c>
      <c r="I13" s="45">
        <f>DURACION!I50</f>
        <v>3.35</v>
      </c>
      <c r="J13" s="45">
        <f>DURACION!G50</f>
        <v>7.173243552644809</v>
      </c>
    </row>
    <row r="17" ht="12.75">
      <c r="E17" s="139" t="s">
        <v>94</v>
      </c>
    </row>
    <row r="26" ht="13.5" thickBot="1">
      <c r="E26"/>
    </row>
    <row r="27" spans="5:8" ht="14.25" thickBot="1" thickTop="1">
      <c r="E27" s="58" t="s">
        <v>95</v>
      </c>
      <c r="F27" s="58" t="s">
        <v>96</v>
      </c>
      <c r="G27" s="58" t="s">
        <v>5</v>
      </c>
      <c r="H27" s="58" t="s">
        <v>97</v>
      </c>
    </row>
    <row r="28" spans="5:8" ht="14.25" thickBot="1" thickTop="1">
      <c r="E28" s="2"/>
      <c r="F28" s="2"/>
      <c r="G28" s="2"/>
      <c r="H28" s="2"/>
    </row>
    <row r="29" spans="5:8" ht="13.5" thickTop="1">
      <c r="E29" s="61" t="s">
        <v>58</v>
      </c>
      <c r="F29" s="87">
        <f>I11/100</f>
        <v>0.02825</v>
      </c>
      <c r="G29" s="63">
        <f>J11</f>
        <v>5.606100063954307</v>
      </c>
      <c r="H29" s="64">
        <v>0</v>
      </c>
    </row>
    <row r="30" spans="5:8" ht="12.75">
      <c r="E30" s="65" t="s">
        <v>59</v>
      </c>
      <c r="F30" s="88">
        <f>I12/100</f>
        <v>0.030625</v>
      </c>
      <c r="G30" s="60">
        <f>J12</f>
        <v>5.577287785129394</v>
      </c>
      <c r="H30" s="66">
        <v>0.10855216470262176</v>
      </c>
    </row>
    <row r="31" spans="5:8" ht="13.5" thickBot="1">
      <c r="E31" s="67" t="s">
        <v>60</v>
      </c>
      <c r="F31" s="89">
        <f>I13/100</f>
        <v>0.0335</v>
      </c>
      <c r="G31" s="69">
        <f>J13</f>
        <v>7.173243552644809</v>
      </c>
      <c r="H31" s="70">
        <v>0.8914478223570899</v>
      </c>
    </row>
    <row r="32" spans="5:8" ht="13.5" thickTop="1">
      <c r="E32" s="47"/>
      <c r="F32" s="2"/>
      <c r="G32" s="2"/>
      <c r="H32" s="48"/>
    </row>
    <row r="33" spans="5:8" ht="13.5" thickBot="1">
      <c r="E33" s="47"/>
      <c r="F33" s="2"/>
      <c r="G33" s="2"/>
      <c r="H33" s="48"/>
    </row>
    <row r="34" spans="5:8" ht="16.5" thickBot="1">
      <c r="E34" s="49" t="s">
        <v>98</v>
      </c>
      <c r="F34" s="2"/>
      <c r="G34" s="2"/>
      <c r="H34" s="50">
        <f>SUMPRODUCT(F29:F31,H29:H31)</f>
        <v>0.033187912092980304</v>
      </c>
    </row>
    <row r="35" spans="5:8" ht="13.5" thickBot="1">
      <c r="E35" s="51"/>
      <c r="F35" s="2"/>
      <c r="G35" s="2"/>
      <c r="H35" s="20"/>
    </row>
    <row r="36" spans="5:8" ht="15.75" thickBot="1">
      <c r="E36" s="49" t="s">
        <v>99</v>
      </c>
      <c r="F36" s="2"/>
      <c r="G36" s="7">
        <f>SUMPRODUCT(G29:G31,H29:H31)</f>
        <v>6.999999006487537</v>
      </c>
      <c r="H36" s="52">
        <v>7</v>
      </c>
    </row>
    <row r="37" spans="5:8" ht="15.75" thickBot="1">
      <c r="E37" s="51"/>
      <c r="F37" s="2"/>
      <c r="G37" s="6"/>
      <c r="H37" s="53"/>
    </row>
    <row r="38" spans="5:8" ht="15.75" thickBot="1">
      <c r="E38" s="54" t="s">
        <v>100</v>
      </c>
      <c r="F38" s="55"/>
      <c r="G38" s="56">
        <f>SUM(H29:H31)</f>
        <v>0.9999999870597116</v>
      </c>
      <c r="H38" s="57">
        <v>1</v>
      </c>
    </row>
    <row r="39" ht="13.5" thickTop="1"/>
    <row r="40" spans="2:5" ht="12.75">
      <c r="B40" s="36"/>
      <c r="E40" s="1" t="s">
        <v>101</v>
      </c>
    </row>
    <row r="41" ht="12.75">
      <c r="B41" s="36" t="s">
        <v>102</v>
      </c>
    </row>
    <row r="42" ht="12.75">
      <c r="B42" s="36" t="s">
        <v>103</v>
      </c>
    </row>
    <row r="50" spans="5:8" ht="15.75">
      <c r="E50" s="8"/>
      <c r="F50" s="2"/>
      <c r="G50" s="2"/>
      <c r="H50" s="9"/>
    </row>
    <row r="51" spans="5:8" ht="12.75">
      <c r="E51" s="2"/>
      <c r="F51" s="2"/>
      <c r="G51" s="2"/>
      <c r="H51" s="3"/>
    </row>
    <row r="52" spans="5:8" ht="15">
      <c r="E52" s="8"/>
      <c r="F52" s="2"/>
      <c r="G52" s="10"/>
      <c r="H52" s="10"/>
    </row>
    <row r="53" spans="5:8" ht="15">
      <c r="E53" s="2"/>
      <c r="F53" s="2"/>
      <c r="G53" s="6"/>
      <c r="H53" s="10"/>
    </row>
    <row r="54" spans="5:8" ht="15">
      <c r="E54" s="8"/>
      <c r="F54" s="2"/>
      <c r="G54" s="11"/>
      <c r="H54" s="12"/>
    </row>
  </sheetData>
  <sheetProtection/>
  <hyperlinks>
    <hyperlink ref="B5" r:id="rId1" display="www.gacetafinanciera.com"/>
  </hyperlinks>
  <printOptions horizontalCentered="1" verticalCentered="1"/>
  <pageMargins left="0.75" right="0.75" top="1.1811023622047245" bottom="1.1811023622047245" header="0" footer="0"/>
  <pageSetup fitToHeight="1" fitToWidth="1" horizontalDpi="120" verticalDpi="120" orientation="landscape" scale="81" r:id="rId3"/>
  <headerFooter alignWithMargins="0">
    <oddHeader>&amp;R&amp;"Arial,Negrita"&amp;8FERNANDO DE JESÚS FRANCO CUARTAS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sensibilidad de bonos</dc:title>
  <dc:subject>Finanzas I</dc:subject>
  <dc:creator>FERNANDO DE JESÚS FRANCO CUARTAS</dc:creator>
  <cp:keywords/>
  <dc:description/>
  <cp:lastModifiedBy>FERNANDO DE JESÚS FRANCO CUARTAS</cp:lastModifiedBy>
  <cp:lastPrinted>2006-02-28T21:40:14Z</cp:lastPrinted>
  <dcterms:created xsi:type="dcterms:W3CDTF">2003-07-17T20:43:25Z</dcterms:created>
  <dcterms:modified xsi:type="dcterms:W3CDTF">2009-03-13T02:32:32Z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