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435" activeTab="0"/>
  </bookViews>
  <sheets>
    <sheet name="Indicadores" sheetId="1" r:id="rId1"/>
  </sheets>
  <definedNames>
    <definedName name="\a">'Indicadores'!$R$4</definedName>
    <definedName name="\c">'Indicadores'!$L$4</definedName>
    <definedName name="\i">'Indicadores'!$O$4</definedName>
    <definedName name="\l">'Indicadores'!$M$4</definedName>
    <definedName name="\m">'Indicadores'!$L$9</definedName>
    <definedName name="\r">'Indicadores'!$N$4</definedName>
    <definedName name="\s">'Indicadores'!$Q$4</definedName>
    <definedName name="\z">'Indicadores'!$P$4</definedName>
    <definedName name="_Regression_Int" localSheetId="0" hidden="1">1</definedName>
    <definedName name="A_impresión_IM">'Indicadores'!$A$8:$K$242</definedName>
    <definedName name="_xlnm.Print_Area" localSheetId="0">'Indicadores'!$A$8:$K$242</definedName>
  </definedNames>
  <calcPr fullCalcOnLoad="1"/>
</workbook>
</file>

<file path=xl/sharedStrings.xml><?xml version="1.0" encoding="utf-8"?>
<sst xmlns="http://schemas.openxmlformats.org/spreadsheetml/2006/main" count="395" uniqueCount="289">
  <si>
    <t>NOMBRE DE LA SOCIEDAD:........INDUSTRIAS NOEL S.A.</t>
  </si>
  <si>
    <t>USAR CELDA C1</t>
  </si>
  <si>
    <t>CIFRAS</t>
  </si>
  <si>
    <t>LIQUIDEZ</t>
  </si>
  <si>
    <t>RENTABILIDAD</t>
  </si>
  <si>
    <t>IMPRESION</t>
  </si>
  <si>
    <t>ZEROS</t>
  </si>
  <si>
    <t>SALVAR</t>
  </si>
  <si>
    <t>ABANDONAR</t>
  </si>
  <si>
    <t>NIT:..........................</t>
  </si>
  <si>
    <t>USAR CELDA C2</t>
  </si>
  <si>
    <t>MUESTRA LA GRAFICA DE LAS PRINCIPALES CIFRAS</t>
  </si>
  <si>
    <t>MUESTRA LA GRAFICA DE LOS INDICES DE LIQUIDEZ</t>
  </si>
  <si>
    <t>MUESTRA LA GRAFICA DE LOS INDICES DE RENTABILIDAD</t>
  </si>
  <si>
    <t>IMPRIME TODA LA HOJA DE TRABAJO DE ANALISIS FINANCIERO</t>
  </si>
  <si>
    <t>BORRA TODOS LOS CEROS DE LA PANTALLA</t>
  </si>
  <si>
    <t>GRABA EL ARCHIVO</t>
  </si>
  <si>
    <t>SALIRSE DE LA HOJA DE TRABAJO</t>
  </si>
  <si>
    <t>PERIODO ULTIMO BALANCE:.......1995</t>
  </si>
  <si>
    <t>DIAS 365</t>
  </si>
  <si>
    <t>USAR CELDA C3</t>
  </si>
  <si>
    <t>/GN~CIFRAS~</t>
  </si>
  <si>
    <t>/GN~LIQUIDEZ~</t>
  </si>
  <si>
    <t>/GN~RENTABILIDAD~</t>
  </si>
  <si>
    <t>/PPRA4.J325~OML20~MR240~MT3~MB0~S\015~QAG</t>
  </si>
  <si>
    <t>/WGZY~</t>
  </si>
  <si>
    <t>/FS</t>
  </si>
  <si>
    <t>/QYE~</t>
  </si>
  <si>
    <t>BALANCE GENERAL</t>
  </si>
  <si>
    <t>MILES $</t>
  </si>
  <si>
    <t>{MENUBRANCH L2.R2}</t>
  </si>
  <si>
    <t>PERIODOS</t>
  </si>
  <si>
    <t xml:space="preserve">  VARIAC</t>
  </si>
  <si>
    <t xml:space="preserve"> VARIAC</t>
  </si>
  <si>
    <t xml:space="preserve">   VAR % </t>
  </si>
  <si>
    <t>ACTIVOS</t>
  </si>
  <si>
    <t xml:space="preserve">   94-93</t>
  </si>
  <si>
    <t>95-94</t>
  </si>
  <si>
    <t>Disponible</t>
  </si>
  <si>
    <t>Inversiones temporales</t>
  </si>
  <si>
    <t>Deudores Clientes</t>
  </si>
  <si>
    <t>Inventarios</t>
  </si>
  <si>
    <t>Semovientes</t>
  </si>
  <si>
    <t>Cultivos en desarrollo</t>
  </si>
  <si>
    <t>Gastos pagados por anticipado</t>
  </si>
  <si>
    <t>Otros activos corrientes</t>
  </si>
  <si>
    <t>TOTAL ACTIVO CORRIENTE</t>
  </si>
  <si>
    <t>Bienes raíces</t>
  </si>
  <si>
    <t>Maquinaria y equipo</t>
  </si>
  <si>
    <t>Equipo de Transporte</t>
  </si>
  <si>
    <t>Equipo de Oficina</t>
  </si>
  <si>
    <t>Otros</t>
  </si>
  <si>
    <t>Depreciación</t>
  </si>
  <si>
    <t>TOTAL ACTIVO FIJO</t>
  </si>
  <si>
    <t>Deudas de Socios</t>
  </si>
  <si>
    <t>Inversiones a largo plazo</t>
  </si>
  <si>
    <t>Cargos Diferidos</t>
  </si>
  <si>
    <t>Cultivos largo plazo</t>
  </si>
  <si>
    <t>Deudores Largo Plazo</t>
  </si>
  <si>
    <t>Otros activos</t>
  </si>
  <si>
    <t>Valorizaciones</t>
  </si>
  <si>
    <t>TOTAL ACTIVO</t>
  </si>
  <si>
    <t>Cuentas de Orden Deudoras</t>
  </si>
  <si>
    <t xml:space="preserve">     VARIAC</t>
  </si>
  <si>
    <t>PASIVOS</t>
  </si>
  <si>
    <t>Obligaciones Financieras C.P.</t>
  </si>
  <si>
    <t>Proveedores</t>
  </si>
  <si>
    <t>Cuentas por pagar</t>
  </si>
  <si>
    <t>Deudas con Socios</t>
  </si>
  <si>
    <t>Impuestos, gravamenes y tasas</t>
  </si>
  <si>
    <t>Obligaciones Laborales</t>
  </si>
  <si>
    <t>TOTAL PASIVO CORRIENTE</t>
  </si>
  <si>
    <t>Obligaciones Financieras L.P.</t>
  </si>
  <si>
    <t>Bonos y Papeles Comerciales</t>
  </si>
  <si>
    <t>Obligaciones Laborales L.P.</t>
  </si>
  <si>
    <t>Otros pasivos L.P.</t>
  </si>
  <si>
    <t>TOTAL PASIVO LARGO PLAZO</t>
  </si>
  <si>
    <t>TOTAL PASIVO</t>
  </si>
  <si>
    <t>PATRIMONIO</t>
  </si>
  <si>
    <t>Capital</t>
  </si>
  <si>
    <t>Superavit de Capital</t>
  </si>
  <si>
    <t>Reservas</t>
  </si>
  <si>
    <t>Utilidades acumuladas</t>
  </si>
  <si>
    <t>Utilidades del ejercicio</t>
  </si>
  <si>
    <t>Revalorización de Patrimonio</t>
  </si>
  <si>
    <t>Superavit valorizaciones</t>
  </si>
  <si>
    <t>TOTAL PATRIMONIO</t>
  </si>
  <si>
    <t>TOTAL PASIVO Y PATRIMONIO</t>
  </si>
  <si>
    <t>Cuentas de Orden Acreedoras</t>
  </si>
  <si>
    <t xml:space="preserve">   G  A  N  A  N  C  I  A  S     Y     P  E  R  D  I  D  A  S  </t>
  </si>
  <si>
    <t>PARTIC.</t>
  </si>
  <si>
    <t>PARTICIPAC.</t>
  </si>
  <si>
    <t>VARIACION</t>
  </si>
  <si>
    <t>VARIACION(%)</t>
  </si>
  <si>
    <t>Ventas</t>
  </si>
  <si>
    <t>Costo de ventas</t>
  </si>
  <si>
    <t>UTILIDAD BRUTA EN VENTAS</t>
  </si>
  <si>
    <t xml:space="preserve"> </t>
  </si>
  <si>
    <t>Gastos de administración</t>
  </si>
  <si>
    <t>Gastos de ventas y generales</t>
  </si>
  <si>
    <t>TOTAL GASTOS DE OPERACION</t>
  </si>
  <si>
    <t>UTILIDAD DE OPERACION</t>
  </si>
  <si>
    <t>Gastos financieros</t>
  </si>
  <si>
    <t>Otros ingresos</t>
  </si>
  <si>
    <t>Otros Egresos</t>
  </si>
  <si>
    <t>Corrección Monetaria</t>
  </si>
  <si>
    <t>UTILIDAD ANTES DE IMPUESTOS</t>
  </si>
  <si>
    <t>Provision impuestos</t>
  </si>
  <si>
    <t>UTILIDAD NETA DEL EJERCICIO</t>
  </si>
  <si>
    <t>|::</t>
  </si>
  <si>
    <t xml:space="preserve">     R E S U M E N  F I N A N C I E R O</t>
  </si>
  <si>
    <t>PRINCIPALES CIFRAS</t>
  </si>
  <si>
    <t>VENTAS</t>
  </si>
  <si>
    <t>UTILIDAD OPERACIONAL</t>
  </si>
  <si>
    <t>U.OPER.</t>
  </si>
  <si>
    <t>UTILIDAD NETA</t>
  </si>
  <si>
    <t>U.NETA</t>
  </si>
  <si>
    <t>PATRIM.</t>
  </si>
  <si>
    <t>VALORIZACIONES</t>
  </si>
  <si>
    <t>VALORIZ.</t>
  </si>
  <si>
    <t>INDICES DE LIQUIDEZ (VECES)</t>
  </si>
  <si>
    <t>RAZON CORRIENTE</t>
  </si>
  <si>
    <t>R.CTE.</t>
  </si>
  <si>
    <t>PRUEBA ACIDA</t>
  </si>
  <si>
    <t>P.ACIDA</t>
  </si>
  <si>
    <t>ROTACION DEUDORES CLIENTES</t>
  </si>
  <si>
    <t>R. CXC.</t>
  </si>
  <si>
    <t>ROTACION INVENTARIOS</t>
  </si>
  <si>
    <t>R.INV.</t>
  </si>
  <si>
    <t>IMPORTANCIA ACTIVO CTE.</t>
  </si>
  <si>
    <t>I.A.CTE.</t>
  </si>
  <si>
    <t>ROTACION ACTIVO CORRIENTE</t>
  </si>
  <si>
    <t>R.A.CTE.</t>
  </si>
  <si>
    <t>DURACION CICLO DE LIQUIDEZ (DIAS)</t>
  </si>
  <si>
    <t>PERIODO DE COBRO</t>
  </si>
  <si>
    <t>PERIODO DE INVENTARIOS</t>
  </si>
  <si>
    <t>TOTAL PERIODO DE LIQUIDEZ</t>
  </si>
  <si>
    <t>INDICES DE RENTABILIDAD (PORCENTAJE)</t>
  </si>
  <si>
    <t>RENT.ACTIVO TOTAL</t>
  </si>
  <si>
    <t>R.A.TOT.</t>
  </si>
  <si>
    <t>RENT. PATRIMONIO</t>
  </si>
  <si>
    <t>R. PAT.</t>
  </si>
  <si>
    <t>MARGEN UTILIDAD TOTAL</t>
  </si>
  <si>
    <t>M.U.T.</t>
  </si>
  <si>
    <t>RENT.ACTIVO OPERACIONAL</t>
  </si>
  <si>
    <t>R.A.O.</t>
  </si>
  <si>
    <t>MARGEN UTILILIDAD OPERACIONAL</t>
  </si>
  <si>
    <t>M.U.O.</t>
  </si>
  <si>
    <t>INDICES DE ENDEUDAMIENTO (PORCENTAJE)</t>
  </si>
  <si>
    <t>ENDEUDAMIENTO</t>
  </si>
  <si>
    <t>OTROS INDICES</t>
  </si>
  <si>
    <t>ROTACION DE ACTIVOS (VECES)</t>
  </si>
  <si>
    <t>INCREMENTO DE VENTAS (%)</t>
  </si>
  <si>
    <t>PASIVO FCIERO C.P. VS VENTAS ANUALES (%)</t>
  </si>
  <si>
    <t>PASIVO CORRIENTE VS. VENTAS ANUALES (%)</t>
  </si>
  <si>
    <t>ESTADO DE FUENTE Y APLICACION DE FONDOS</t>
  </si>
  <si>
    <t>|</t>
  </si>
  <si>
    <t xml:space="preserve">               F U E N T E S</t>
  </si>
  <si>
    <t xml:space="preserve">     A P L I C A C I O N E S</t>
  </si>
  <si>
    <t>DISMINUCION DISPONIBLE</t>
  </si>
  <si>
    <t xml:space="preserve">   AUMENTO DE DISPONIBLE</t>
  </si>
  <si>
    <t>VENTA DE ACTIVOS FIJOS</t>
  </si>
  <si>
    <t>COMPRA DE ACTIVOS FIJOS</t>
  </si>
  <si>
    <t>DISMINUCION INV.TEMPORALES</t>
  </si>
  <si>
    <t xml:space="preserve">   AUMENTO DE INVERS TEMPORALES</t>
  </si>
  <si>
    <t>DISMINUCION DEUDORES CLIENTES</t>
  </si>
  <si>
    <t xml:space="preserve">   AUMENTO DEUDORES CLIENTES</t>
  </si>
  <si>
    <t>DISM. INVERSIONES L. P.</t>
  </si>
  <si>
    <t>AUMENTO INV. LARGO PLAZO</t>
  </si>
  <si>
    <t>DISMINUCION INVENTARIOS</t>
  </si>
  <si>
    <t xml:space="preserve">   AUMENTO DE INVENTARIOS</t>
  </si>
  <si>
    <t>DISM. CTAS X COBRAR L.P.</t>
  </si>
  <si>
    <t>AUMENT.CTAS X COBRAR. L.P.</t>
  </si>
  <si>
    <t>DISMINUCION OTROS ACT CTES</t>
  </si>
  <si>
    <t xml:space="preserve">   AUMENTO DE OTROS ACTIVOS CTES</t>
  </si>
  <si>
    <t>PRESTAMOS A LARGO PLAZO</t>
  </si>
  <si>
    <t>AUMENTO OTROS ACTIVOS</t>
  </si>
  <si>
    <t>OBLIGACIONES FINANCIERAS C.P.</t>
  </si>
  <si>
    <t xml:space="preserve">   PAGO OBLIGACIONES FRAS. C.P.</t>
  </si>
  <si>
    <t>AUMENTO DE CAPITAL</t>
  </si>
  <si>
    <t>DISMINUCION OTROS PASIVOS</t>
  </si>
  <si>
    <t>CREDITO DE PROVEEDORES</t>
  </si>
  <si>
    <t xml:space="preserve">   PAGO A PROVEEDORES</t>
  </si>
  <si>
    <t>GANANCIAS RETENIDAS</t>
  </si>
  <si>
    <t>DISMINUCION DE CAPITAL</t>
  </si>
  <si>
    <t>CUENTAS POR PAGAR</t>
  </si>
  <si>
    <t xml:space="preserve">   PAGO DE CUENTAS POR PAGAR</t>
  </si>
  <si>
    <t>PRESTAMO DE SOCIOS</t>
  </si>
  <si>
    <t xml:space="preserve">   PRESTAMOS A SOCIOS</t>
  </si>
  <si>
    <t>IMPUESTOS, GRAVAMENES Y TASAS</t>
  </si>
  <si>
    <t xml:space="preserve">   PAGO IMPTOS, GRAVAM. Y TASAS</t>
  </si>
  <si>
    <t>OBLIGACIONES LABORALES</t>
  </si>
  <si>
    <t xml:space="preserve">   PAGO OBLIGACIONES LABORALES</t>
  </si>
  <si>
    <t>OTROS PASIVOS CTES.</t>
  </si>
  <si>
    <t xml:space="preserve">   DISMINUCION OTROS PAS CTES</t>
  </si>
  <si>
    <t xml:space="preserve">   - AJUSTES INFLACION INVENT.</t>
  </si>
  <si>
    <t>FUENTES LARGO PLAZO</t>
  </si>
  <si>
    <t>APLICACIONES LARGO PLAZO</t>
  </si>
  <si>
    <t>~</t>
  </si>
  <si>
    <t>~|</t>
  </si>
  <si>
    <t>FUENTES CORTO PLAZO</t>
  </si>
  <si>
    <t xml:space="preserve">   APLICACIONES A CORTO PLAZO</t>
  </si>
  <si>
    <t>~|~</t>
  </si>
  <si>
    <t>DEPRECIACION</t>
  </si>
  <si>
    <t xml:space="preserve">   COMPRA DE ACTIVOS FIJOS</t>
  </si>
  <si>
    <t xml:space="preserve">   AUMENTO INVERS LARGO PLAZO</t>
  </si>
  <si>
    <t>DISMINUCION OTROS ACTIVOS</t>
  </si>
  <si>
    <t xml:space="preserve">   AUMENTO DE OTROS ACTIVOS</t>
  </si>
  <si>
    <t xml:space="preserve">   - AJUSTES INFLACION ACT FIJOS</t>
  </si>
  <si>
    <t xml:space="preserve">   AUMENTO DE DIFERIDOS</t>
  </si>
  <si>
    <t>OBLIGACIONES FINANCIERAS L.P.</t>
  </si>
  <si>
    <t xml:space="preserve">   PAGO OBLIG. LARGO PLAZO</t>
  </si>
  <si>
    <t>BONOS Y PAPELES COMERCIALES</t>
  </si>
  <si>
    <t xml:space="preserve">   PAGO BONOS Y PAPELES CCIALES.</t>
  </si>
  <si>
    <t>SUMAS IGUALES</t>
  </si>
  <si>
    <t>OBLIGACIONES LABORALES L.P.</t>
  </si>
  <si>
    <t xml:space="preserve">   PAGO OBLIGAC. LABORALES L.P.</t>
  </si>
  <si>
    <t>AUMENTO OTROS PASIVOS L.P.</t>
  </si>
  <si>
    <t xml:space="preserve">   DISMINUCION OTROS PASIVOS L.P.</t>
  </si>
  <si>
    <t xml:space="preserve">   DISMINUCION DE CAPITAL</t>
  </si>
  <si>
    <t>~~</t>
  </si>
  <si>
    <t xml:space="preserve">   APLICACIONES LARGO PLAZO</t>
  </si>
  <si>
    <t>UTILIDADES DEL EJERCICIO</t>
  </si>
  <si>
    <t xml:space="preserve">   PERDIDA DEL EJERCICIO</t>
  </si>
  <si>
    <t>AMORTIZACION DE DIFERIDOS</t>
  </si>
  <si>
    <t xml:space="preserve">   PAGO DE DIVIDENDOS</t>
  </si>
  <si>
    <t>-CORR. MONET INVENT Y ACT.FIJ.</t>
  </si>
  <si>
    <t>GENERACION INTERNA</t>
  </si>
  <si>
    <t xml:space="preserve">   DISMINUCION DE FONDOS</t>
  </si>
  <si>
    <t xml:space="preserve">     ESTADO DE FLUJO DE EFECTIVO</t>
  </si>
  <si>
    <t xml:space="preserve">           ENTRADAS DE EFECTIVO</t>
  </si>
  <si>
    <t xml:space="preserve">    SALIDAS DE EFECTIVO</t>
  </si>
  <si>
    <t>RECAUDO DE CLIENTES</t>
  </si>
  <si>
    <t xml:space="preserve">    PAGO A PROVEEDORES</t>
  </si>
  <si>
    <t>OTROS INGRESOS</t>
  </si>
  <si>
    <t xml:space="preserve">    PAGO DE GASTOS DE OPERACION</t>
  </si>
  <si>
    <t xml:space="preserve">    GASTOS FINANCIEROS</t>
  </si>
  <si>
    <t xml:space="preserve">    OTROS EGRESOS</t>
  </si>
  <si>
    <t>TOTAL ENTRADAS DE OPERACIONES</t>
  </si>
  <si>
    <t xml:space="preserve">    TOTAL SALIDAS DE OPERACIONES</t>
  </si>
  <si>
    <t>VENTA INVERSIONES TEMPORALES</t>
  </si>
  <si>
    <t xml:space="preserve">    ADQUISICION INVERS. TEMPOR.</t>
  </si>
  <si>
    <t>DISMINUCION OTROS ACTIVOS CTES.</t>
  </si>
  <si>
    <t xml:space="preserve">    INCREMENTO OTROS ACT. CTES.</t>
  </si>
  <si>
    <t>VENTA DE BIENES RAICES</t>
  </si>
  <si>
    <t xml:space="preserve">    ADQUISICION BIENES RAICES</t>
  </si>
  <si>
    <t>VENTA DE MAQUINARIA Y EQUIPO</t>
  </si>
  <si>
    <t xml:space="preserve">    ADQUISICION DE MAQ. Y EQUIPO</t>
  </si>
  <si>
    <t>VENTA DE EQUIPO DE TRANSPORTE</t>
  </si>
  <si>
    <t xml:space="preserve">    ADQUISICION DE EQ.TRANSP.</t>
  </si>
  <si>
    <t>VENTA DE EQUIPO DE OFICINA</t>
  </si>
  <si>
    <t xml:space="preserve">    ADQUISICION EQUIPO DE OFIC.</t>
  </si>
  <si>
    <t>VENTA DE OTROS ACTIVOS FIJOS</t>
  </si>
  <si>
    <t xml:space="preserve">    ADQUISICION OTROS ACT.FIJOS</t>
  </si>
  <si>
    <t>VENTA INVERSIONES LARGO PLAZO</t>
  </si>
  <si>
    <t xml:space="preserve">    ADQUISICION INVERSIONES L.P.</t>
  </si>
  <si>
    <t>DISMINUCION OTROS ACTIVOS L.P.</t>
  </si>
  <si>
    <t xml:space="preserve">    INCREMENTO OTROS ACT. L.P.</t>
  </si>
  <si>
    <t xml:space="preserve">    - AJUSTES INFLACION ACT FIJOS</t>
  </si>
  <si>
    <t>TOTAL ENTRADAS POR VENTA ACT.</t>
  </si>
  <si>
    <t xml:space="preserve">    TOTAL SALIDAS COMPRA ACT.</t>
  </si>
  <si>
    <t xml:space="preserve">    PAGO OBLIGAC. FRAS. C.P.</t>
  </si>
  <si>
    <t>INCREMENTO CUENTAS POR PAGAR</t>
  </si>
  <si>
    <t xml:space="preserve">    PAGO CUENTAS POR PAGAR</t>
  </si>
  <si>
    <t>INCREMENTO OTROS PASIVOS C.P.</t>
  </si>
  <si>
    <t xml:space="preserve">    PAGO OTROS PASIVOS C.P.</t>
  </si>
  <si>
    <t xml:space="preserve">    PAGO OBLIGAC. FRAS. L.P.</t>
  </si>
  <si>
    <t>BONOS Y PAPELES CCIALES.</t>
  </si>
  <si>
    <t xml:space="preserve">    PAGO BONOS Y PAPELES CCIALES.</t>
  </si>
  <si>
    <t xml:space="preserve">    PAGO OBLIGAC. LABORALES L.P.</t>
  </si>
  <si>
    <t>INCREMENTO OTROS PASIVOS L.P.</t>
  </si>
  <si>
    <t xml:space="preserve">    PAGO OTROS PASIVOS L.P.</t>
  </si>
  <si>
    <t>CUENTA DE SOCIOS</t>
  </si>
  <si>
    <t xml:space="preserve">    PAGO CUENTA DE SOCIOS</t>
  </si>
  <si>
    <t>TOTAL ENTRADAS POR ADQ.PASIVOS</t>
  </si>
  <si>
    <t xml:space="preserve">    TOTAL SALIDAS PAGO PASIVOS</t>
  </si>
  <si>
    <t xml:space="preserve">    DISMINUCION DE CAPITAL</t>
  </si>
  <si>
    <t>AUMENTO SUPERAVIT DE CAPITAL</t>
  </si>
  <si>
    <t xml:space="preserve">    DISMINUCION SUPER.DE CAPITAL</t>
  </si>
  <si>
    <t xml:space="preserve">    PAGO DE DIVIDENDOS</t>
  </si>
  <si>
    <t>TOTAL ENTRADAS POR CAPITALIZ.</t>
  </si>
  <si>
    <t xml:space="preserve">    TOTAL SALIDAS POR DESCAPITALIZAC.</t>
  </si>
  <si>
    <t>TOTAL ENTRADAS EN EFECTIVO</t>
  </si>
  <si>
    <t xml:space="preserve">    TOTAL SALIDAS EN EFECTIVO</t>
  </si>
  <si>
    <t>SALDO INICIAL DISPONIBLE</t>
  </si>
  <si>
    <t>+ ENTRADAS EN EFECTIVO</t>
  </si>
  <si>
    <t>-SALIDAS EN EFECTIVO</t>
  </si>
  <si>
    <t>SALDO FINAL EN DISPONIBLE DEL FLUJO</t>
  </si>
  <si>
    <t>SALDO FINAL EN DISPONIBLE DEL BALANCE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</si>
</sst>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.##0,"/>
    <numFmt numFmtId="187" formatCode="0.0%"/>
    <numFmt numFmtId="188" formatCode="0.00_)"/>
  </numFmts>
  <fonts count="1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color indexed="12"/>
      <name val="Courier"/>
      <family val="0"/>
    </font>
    <font>
      <sz val="10"/>
      <color indexed="8"/>
      <name val="Courier"/>
      <family val="3"/>
    </font>
    <font>
      <sz val="10"/>
      <name val="Courier"/>
      <family val="3"/>
    </font>
    <font>
      <sz val="15"/>
      <color indexed="8"/>
      <name val="Courier"/>
      <family val="3"/>
    </font>
    <font>
      <sz val="15"/>
      <name val="Courier"/>
      <family val="3"/>
    </font>
    <font>
      <sz val="10"/>
      <color indexed="8"/>
      <name val="Lucida Casual"/>
      <family val="4"/>
    </font>
    <font>
      <b/>
      <sz val="10"/>
      <name val="Courier"/>
      <family val="3"/>
    </font>
    <font>
      <b/>
      <sz val="12"/>
      <color indexed="8"/>
      <name val="Lucida Casual"/>
      <family val="4"/>
    </font>
    <font>
      <b/>
      <sz val="12"/>
      <color indexed="8"/>
      <name val="Courier"/>
      <family val="3"/>
    </font>
    <font>
      <b/>
      <sz val="15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5" fillId="0" borderId="0">
      <alignment/>
      <protection locked="0"/>
    </xf>
    <xf numFmtId="186" fontId="5" fillId="0" borderId="0">
      <alignment/>
      <protection locked="0"/>
    </xf>
    <xf numFmtId="186" fontId="6" fillId="0" borderId="0">
      <alignment/>
      <protection locked="0"/>
    </xf>
    <xf numFmtId="186" fontId="5" fillId="0" borderId="0">
      <alignment/>
      <protection locked="0"/>
    </xf>
    <xf numFmtId="186" fontId="5" fillId="0" borderId="0">
      <alignment/>
      <protection locked="0"/>
    </xf>
    <xf numFmtId="186" fontId="5" fillId="0" borderId="0">
      <alignment/>
      <protection locked="0"/>
    </xf>
    <xf numFmtId="186" fontId="6" fillId="0" borderId="0">
      <alignment/>
      <protection locked="0"/>
    </xf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 quotePrefix="1">
      <alignment horizontal="center"/>
      <protection/>
    </xf>
    <xf numFmtId="37" fontId="5" fillId="0" borderId="1" xfId="0" applyFont="1" applyFill="1" applyBorder="1" applyAlignment="1">
      <alignment/>
    </xf>
    <xf numFmtId="37" fontId="5" fillId="0" borderId="2" xfId="0" applyFont="1" applyFill="1" applyBorder="1" applyAlignment="1">
      <alignment/>
    </xf>
    <xf numFmtId="37" fontId="5" fillId="0" borderId="3" xfId="0" applyFont="1" applyFill="1" applyBorder="1" applyAlignment="1">
      <alignment/>
    </xf>
    <xf numFmtId="37" fontId="5" fillId="0" borderId="3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5" xfId="0" applyFont="1" applyFill="1" applyBorder="1" applyAlignment="1">
      <alignment/>
    </xf>
    <xf numFmtId="37" fontId="5" fillId="0" borderId="4" xfId="0" applyFont="1" applyFill="1" applyBorder="1" applyAlignment="1" applyProtection="1">
      <alignment/>
      <protection locked="0"/>
    </xf>
    <xf numFmtId="37" fontId="5" fillId="0" borderId="5" xfId="0" applyFont="1" applyFill="1" applyBorder="1" applyAlignment="1" applyProtection="1">
      <alignment/>
      <protection locked="0"/>
    </xf>
    <xf numFmtId="37" fontId="5" fillId="0" borderId="5" xfId="0" applyFont="1" applyFill="1" applyBorder="1" applyAlignment="1" applyProtection="1">
      <alignment/>
      <protection/>
    </xf>
    <xf numFmtId="37" fontId="5" fillId="0" borderId="4" xfId="0" applyFont="1" applyFill="1" applyBorder="1" applyAlignment="1">
      <alignment/>
    </xf>
    <xf numFmtId="39" fontId="5" fillId="0" borderId="4" xfId="0" applyNumberFormat="1" applyFont="1" applyFill="1" applyBorder="1" applyAlignment="1" applyProtection="1">
      <alignment/>
      <protection/>
    </xf>
    <xf numFmtId="39" fontId="5" fillId="0" borderId="5" xfId="0" applyNumberFormat="1" applyFont="1" applyFill="1" applyBorder="1" applyAlignment="1" applyProtection="1">
      <alignment/>
      <protection/>
    </xf>
    <xf numFmtId="10" fontId="5" fillId="0" borderId="4" xfId="0" applyNumberFormat="1" applyFont="1" applyFill="1" applyBorder="1" applyAlignment="1" applyProtection="1">
      <alignment/>
      <protection/>
    </xf>
    <xf numFmtId="10" fontId="5" fillId="0" borderId="5" xfId="0" applyNumberFormat="1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7" xfId="0" applyFont="1" applyFill="1" applyBorder="1" applyAlignment="1">
      <alignment/>
    </xf>
    <xf numFmtId="37" fontId="5" fillId="0" borderId="6" xfId="0" applyFont="1" applyFill="1" applyBorder="1" applyAlignment="1">
      <alignment/>
    </xf>
    <xf numFmtId="37" fontId="5" fillId="0" borderId="4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10" fontId="5" fillId="0" borderId="5" xfId="0" applyNumberFormat="1" applyFont="1" applyFill="1" applyBorder="1" applyAlignment="1" applyProtection="1">
      <alignment/>
      <protection/>
    </xf>
    <xf numFmtId="10" fontId="5" fillId="0" borderId="3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right"/>
      <protection/>
    </xf>
    <xf numFmtId="37" fontId="5" fillId="0" borderId="5" xfId="0" applyFont="1" applyFill="1" applyBorder="1" applyAlignment="1" applyProtection="1">
      <alignment horizontal="right"/>
      <protection/>
    </xf>
    <xf numFmtId="10" fontId="5" fillId="0" borderId="0" xfId="0" applyNumberFormat="1" applyFont="1" applyFill="1" applyAlignment="1" applyProtection="1">
      <alignment horizontal="right"/>
      <protection/>
    </xf>
    <xf numFmtId="10" fontId="5" fillId="0" borderId="5" xfId="0" applyNumberFormat="1" applyFont="1" applyFill="1" applyBorder="1" applyAlignment="1" applyProtection="1">
      <alignment horizontal="right"/>
      <protection/>
    </xf>
    <xf numFmtId="10" fontId="5" fillId="0" borderId="2" xfId="0" applyNumberFormat="1" applyFont="1" applyFill="1" applyBorder="1" applyAlignment="1" applyProtection="1">
      <alignment/>
      <protection/>
    </xf>
    <xf numFmtId="39" fontId="5" fillId="0" borderId="2" xfId="0" applyNumberFormat="1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 quotePrefix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8" fillId="0" borderId="3" xfId="0" applyFont="1" applyFill="1" applyBorder="1" applyAlignment="1" applyProtection="1">
      <alignment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3" xfId="0" applyFont="1" applyFill="1" applyBorder="1" applyAlignment="1">
      <alignment/>
    </xf>
    <xf numFmtId="37" fontId="8" fillId="0" borderId="3" xfId="0" applyFont="1" applyFill="1" applyBorder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10" fillId="0" borderId="3" xfId="0" applyFont="1" applyFill="1" applyBorder="1" applyAlignment="1" applyProtection="1">
      <alignment/>
      <protection/>
    </xf>
    <xf numFmtId="37" fontId="10" fillId="0" borderId="3" xfId="0" applyFont="1" applyFill="1" applyBorder="1" applyAlignment="1">
      <alignment/>
    </xf>
    <xf numFmtId="37" fontId="11" fillId="0" borderId="0" xfId="0" applyFont="1" applyAlignment="1">
      <alignment/>
    </xf>
    <xf numFmtId="37" fontId="5" fillId="0" borderId="5" xfId="0" applyFont="1" applyFill="1" applyBorder="1" applyAlignment="1" applyProtection="1" quotePrefix="1">
      <alignment horizontal="left"/>
      <protection/>
    </xf>
    <xf numFmtId="37" fontId="5" fillId="0" borderId="0" xfId="0" applyFont="1" applyFill="1" applyBorder="1" applyAlignment="1">
      <alignment/>
    </xf>
    <xf numFmtId="37" fontId="8" fillId="0" borderId="0" xfId="0" applyFont="1" applyFill="1" applyBorder="1" applyAlignment="1">
      <alignment/>
    </xf>
    <xf numFmtId="10" fontId="5" fillId="0" borderId="0" xfId="0" applyNumberFormat="1" applyFont="1" applyFill="1" applyBorder="1" applyAlignment="1" applyProtection="1">
      <alignment/>
      <protection/>
    </xf>
    <xf numFmtId="37" fontId="12" fillId="0" borderId="3" xfId="0" applyFont="1" applyFill="1" applyBorder="1" applyAlignment="1" applyProtection="1">
      <alignment/>
      <protection/>
    </xf>
    <xf numFmtId="37" fontId="5" fillId="2" borderId="3" xfId="0" applyFont="1" applyFill="1" applyBorder="1" applyAlignment="1">
      <alignment/>
    </xf>
    <xf numFmtId="37" fontId="13" fillId="3" borderId="0" xfId="0" applyFont="1" applyFill="1" applyAlignment="1" applyProtection="1">
      <alignment horizontal="left"/>
      <protection/>
    </xf>
    <xf numFmtId="37" fontId="14" fillId="2" borderId="3" xfId="0" applyFont="1" applyFill="1" applyBorder="1" applyAlignment="1" applyProtection="1">
      <alignment/>
      <protection/>
    </xf>
    <xf numFmtId="37" fontId="14" fillId="2" borderId="3" xfId="0" applyFont="1" applyFill="1" applyBorder="1" applyAlignment="1">
      <alignment/>
    </xf>
    <xf numFmtId="37" fontId="14" fillId="2" borderId="3" xfId="0" applyFont="1" applyFill="1" applyBorder="1" applyAlignment="1" applyProtection="1">
      <alignment/>
      <protection/>
    </xf>
    <xf numFmtId="37" fontId="15" fillId="2" borderId="3" xfId="0" applyFont="1" applyFill="1" applyBorder="1" applyAlignment="1" applyProtection="1">
      <alignment/>
      <protection/>
    </xf>
    <xf numFmtId="37" fontId="15" fillId="2" borderId="3" xfId="0" applyFont="1" applyFill="1" applyBorder="1" applyAlignment="1">
      <alignment/>
    </xf>
    <xf numFmtId="37" fontId="15" fillId="2" borderId="3" xfId="0" applyFont="1" applyFill="1" applyBorder="1" applyAlignment="1" applyProtection="1">
      <alignment/>
      <protection/>
    </xf>
    <xf numFmtId="37" fontId="16" fillId="2" borderId="3" xfId="0" applyFont="1" applyFill="1" applyBorder="1" applyAlignment="1">
      <alignment/>
    </xf>
  </cellXfs>
  <cellStyles count="13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Q439"/>
  <sheetViews>
    <sheetView showGridLines="0" tabSelected="1" zoomScale="75" zoomScaleNormal="75" workbookViewId="0" topLeftCell="B256">
      <selection activeCell="D122" sqref="D122"/>
    </sheetView>
  </sheetViews>
  <sheetFormatPr defaultColWidth="12.796875" defaultRowHeight="15"/>
  <cols>
    <col min="1" max="1" width="2.796875" style="0" hidden="1" customWidth="1"/>
    <col min="2" max="2" width="47.8984375" style="0" customWidth="1"/>
    <col min="3" max="6" width="13.796875" style="0" customWidth="1"/>
    <col min="7" max="7" width="12.796875" style="0" customWidth="1"/>
    <col min="8" max="9" width="13.796875" style="0" customWidth="1"/>
    <col min="10" max="11" width="3.796875" style="0" customWidth="1"/>
    <col min="12" max="12" width="44.796875" style="0" customWidth="1"/>
    <col min="13" max="13" width="45.796875" style="0" customWidth="1"/>
    <col min="14" max="14" width="49.796875" style="0" customWidth="1"/>
    <col min="15" max="15" width="54.796875" style="0" customWidth="1"/>
    <col min="16" max="16" width="37.796875" style="0" customWidth="1"/>
    <col min="17" max="17" width="16.796875" style="0" customWidth="1"/>
  </cols>
  <sheetData>
    <row r="1" ht="15.75" thickBot="1"/>
    <row r="2" spans="1:18" ht="15.75" thickTop="1">
      <c r="A2" s="11"/>
      <c r="B2" s="41" t="s">
        <v>0</v>
      </c>
      <c r="C2" s="13"/>
      <c r="D2" s="13"/>
      <c r="E2" s="14" t="s">
        <v>1</v>
      </c>
      <c r="F2" s="13"/>
      <c r="G2" s="13"/>
      <c r="H2" s="13"/>
      <c r="I2" s="12"/>
      <c r="L2" s="27" t="s">
        <v>2</v>
      </c>
      <c r="M2" s="1" t="s">
        <v>3</v>
      </c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</row>
    <row r="3" spans="1:18" ht="15">
      <c r="A3" s="12"/>
      <c r="B3" s="1" t="s">
        <v>9</v>
      </c>
      <c r="E3" s="1" t="s">
        <v>10</v>
      </c>
      <c r="I3" s="12"/>
      <c r="L3" s="27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</row>
    <row r="4" spans="1:18" ht="15">
      <c r="A4" s="12"/>
      <c r="B4" s="42" t="s">
        <v>18</v>
      </c>
      <c r="C4">
        <v>365</v>
      </c>
      <c r="D4" s="42" t="s">
        <v>19</v>
      </c>
      <c r="E4" s="1" t="s">
        <v>20</v>
      </c>
      <c r="I4" s="12"/>
      <c r="L4" s="27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</row>
    <row r="5" spans="1:12" ht="15">
      <c r="A5" s="12"/>
      <c r="I5" s="12"/>
      <c r="L5" s="28"/>
    </row>
    <row r="7" ht="15.75" thickBot="1"/>
    <row r="8" spans="1:69" ht="19.5" thickTop="1">
      <c r="A8" s="11"/>
      <c r="B8" s="15">
        <f>C2</f>
        <v>0</v>
      </c>
      <c r="C8" s="51"/>
      <c r="D8" s="50"/>
      <c r="E8" s="66" t="s">
        <v>28</v>
      </c>
      <c r="F8" s="66"/>
      <c r="G8" s="51"/>
      <c r="H8" s="50" t="s">
        <v>29</v>
      </c>
      <c r="I8" s="12"/>
      <c r="L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12" ht="19.5" thickBot="1">
      <c r="A9" s="12"/>
      <c r="B9" s="2">
        <f>C3</f>
        <v>0</v>
      </c>
      <c r="C9" s="52"/>
      <c r="D9" s="52"/>
      <c r="E9" s="52"/>
      <c r="F9" s="52"/>
      <c r="G9" s="52"/>
      <c r="H9" s="52"/>
      <c r="I9" s="12"/>
      <c r="L9" s="1" t="s">
        <v>30</v>
      </c>
    </row>
    <row r="10" spans="1:69" ht="15.75" thickTop="1">
      <c r="A10" s="12"/>
      <c r="B10" s="44" t="s">
        <v>31</v>
      </c>
      <c r="C10" s="16">
        <v>1993</v>
      </c>
      <c r="D10" s="16">
        <v>1994</v>
      </c>
      <c r="E10" s="43" t="s">
        <v>32</v>
      </c>
      <c r="F10" s="16">
        <v>1995</v>
      </c>
      <c r="G10" s="30" t="s">
        <v>33</v>
      </c>
      <c r="H10" s="30" t="s">
        <v>34</v>
      </c>
      <c r="I10" s="12"/>
      <c r="L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5.75" thickBot="1">
      <c r="A11" s="12"/>
      <c r="B11" s="45" t="s">
        <v>35</v>
      </c>
      <c r="C11" s="17"/>
      <c r="D11" s="17"/>
      <c r="E11" s="53" t="s">
        <v>36</v>
      </c>
      <c r="F11" s="17"/>
      <c r="G11" s="53" t="s">
        <v>37</v>
      </c>
      <c r="H11" s="53" t="s">
        <v>37</v>
      </c>
      <c r="I11" s="1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9" ht="15.75" thickTop="1">
      <c r="A12" s="12"/>
      <c r="B12" s="44" t="s">
        <v>38</v>
      </c>
      <c r="C12" s="18">
        <v>1980</v>
      </c>
      <c r="D12" s="18">
        <v>4408</v>
      </c>
      <c r="E12" s="16">
        <f aca="true" t="shared" si="0" ref="E12:E20">D12-C12</f>
        <v>2428</v>
      </c>
      <c r="F12" s="18">
        <v>14232</v>
      </c>
      <c r="G12" s="16">
        <f aca="true" t="shared" si="1" ref="G12:G20">F12-D12</f>
        <v>9824</v>
      </c>
      <c r="H12" s="24">
        <f aca="true" t="shared" si="2" ref="H12:H20">IF(D12=0,0,(F12/D12)-1)</f>
        <v>2.2286751361161525</v>
      </c>
      <c r="I12" s="12"/>
    </row>
    <row r="13" spans="1:9" ht="15">
      <c r="A13" s="12"/>
      <c r="B13" s="45" t="s">
        <v>39</v>
      </c>
      <c r="C13" s="19">
        <v>6884</v>
      </c>
      <c r="D13" s="19">
        <v>1148</v>
      </c>
      <c r="E13" s="20">
        <f t="shared" si="0"/>
        <v>-5736</v>
      </c>
      <c r="F13" s="19"/>
      <c r="G13" s="20">
        <f t="shared" si="1"/>
        <v>-1148</v>
      </c>
      <c r="H13" s="25">
        <f t="shared" si="2"/>
        <v>-1</v>
      </c>
      <c r="I13" s="12"/>
    </row>
    <row r="14" spans="1:9" ht="15">
      <c r="A14" s="12"/>
      <c r="B14" s="45" t="s">
        <v>40</v>
      </c>
      <c r="C14" s="19">
        <v>18603</v>
      </c>
      <c r="D14" s="19">
        <v>29015</v>
      </c>
      <c r="E14" s="20">
        <f t="shared" si="0"/>
        <v>10412</v>
      </c>
      <c r="F14" s="19">
        <v>41961</v>
      </c>
      <c r="G14" s="20">
        <f t="shared" si="1"/>
        <v>12946</v>
      </c>
      <c r="H14" s="25">
        <f t="shared" si="2"/>
        <v>0.44618300878855766</v>
      </c>
      <c r="I14" s="12"/>
    </row>
    <row r="15" spans="1:9" ht="15">
      <c r="A15" s="12"/>
      <c r="B15" s="45" t="s">
        <v>41</v>
      </c>
      <c r="C15" s="19">
        <v>18093</v>
      </c>
      <c r="D15" s="19">
        <v>25148</v>
      </c>
      <c r="E15" s="20">
        <f t="shared" si="0"/>
        <v>7055</v>
      </c>
      <c r="F15" s="19">
        <v>24958</v>
      </c>
      <c r="G15" s="20">
        <f t="shared" si="1"/>
        <v>-190</v>
      </c>
      <c r="H15" s="25">
        <f t="shared" si="2"/>
        <v>-0.007555272785112144</v>
      </c>
      <c r="I15" s="12"/>
    </row>
    <row r="16" spans="1:51" ht="15">
      <c r="A16" s="12"/>
      <c r="B16" s="45" t="s">
        <v>42</v>
      </c>
      <c r="C16" s="19"/>
      <c r="D16" s="19"/>
      <c r="E16" s="20">
        <f t="shared" si="0"/>
        <v>0</v>
      </c>
      <c r="F16" s="19"/>
      <c r="G16" s="20">
        <f t="shared" si="1"/>
        <v>0</v>
      </c>
      <c r="H16" s="25">
        <f t="shared" si="2"/>
        <v>0</v>
      </c>
      <c r="I16" s="12"/>
      <c r="X16" s="8"/>
      <c r="AT16" s="3"/>
      <c r="AU16" s="3"/>
      <c r="AV16" s="8"/>
      <c r="AW16" s="3"/>
      <c r="AY16" s="3"/>
    </row>
    <row r="17" spans="1:51" ht="15">
      <c r="A17" s="12"/>
      <c r="B17" s="45" t="s">
        <v>43</v>
      </c>
      <c r="C17" s="19"/>
      <c r="D17" s="19"/>
      <c r="E17" s="20">
        <f t="shared" si="0"/>
        <v>0</v>
      </c>
      <c r="F17" s="19"/>
      <c r="G17" s="20">
        <f t="shared" si="1"/>
        <v>0</v>
      </c>
      <c r="H17" s="25">
        <f t="shared" si="2"/>
        <v>0</v>
      </c>
      <c r="I17" s="12"/>
      <c r="AT17" s="3"/>
      <c r="AU17" s="3"/>
      <c r="AW17" s="3"/>
      <c r="AY17" s="3"/>
    </row>
    <row r="18" spans="1:51" ht="15">
      <c r="A18" s="12"/>
      <c r="B18" s="45" t="s">
        <v>44</v>
      </c>
      <c r="C18" s="19">
        <v>354</v>
      </c>
      <c r="D18" s="19">
        <v>0</v>
      </c>
      <c r="E18" s="20">
        <f t="shared" si="0"/>
        <v>-354</v>
      </c>
      <c r="F18" s="19">
        <v>1327</v>
      </c>
      <c r="G18" s="20">
        <f t="shared" si="1"/>
        <v>1327</v>
      </c>
      <c r="H18" s="25">
        <f t="shared" si="2"/>
        <v>0</v>
      </c>
      <c r="I18" s="12"/>
      <c r="AT18" s="3"/>
      <c r="AU18" s="3"/>
      <c r="AW18" s="3"/>
      <c r="AY18" s="3"/>
    </row>
    <row r="19" spans="1:51" ht="15">
      <c r="A19" s="12"/>
      <c r="B19" s="45" t="s">
        <v>45</v>
      </c>
      <c r="C19" s="19">
        <v>995</v>
      </c>
      <c r="D19" s="19">
        <v>1769</v>
      </c>
      <c r="E19" s="20">
        <f t="shared" si="0"/>
        <v>774</v>
      </c>
      <c r="F19" s="19"/>
      <c r="G19" s="20">
        <f t="shared" si="1"/>
        <v>-1769</v>
      </c>
      <c r="H19" s="25">
        <f t="shared" si="2"/>
        <v>-1</v>
      </c>
      <c r="I19" s="12"/>
      <c r="AT19" s="3"/>
      <c r="AU19" s="3"/>
      <c r="AW19" s="3"/>
      <c r="AY19" s="3"/>
    </row>
    <row r="20" spans="1:51" ht="15">
      <c r="A20" s="12"/>
      <c r="B20" s="45" t="s">
        <v>46</v>
      </c>
      <c r="C20" s="20">
        <f>SUM(C12:C19)</f>
        <v>46909</v>
      </c>
      <c r="D20" s="20">
        <f>SUM(D12:D19)</f>
        <v>61488</v>
      </c>
      <c r="E20" s="20">
        <f t="shared" si="0"/>
        <v>14579</v>
      </c>
      <c r="F20" s="20">
        <f>SUM(F12:F19)</f>
        <v>82478</v>
      </c>
      <c r="G20" s="20">
        <f t="shared" si="1"/>
        <v>20990</v>
      </c>
      <c r="H20" s="25">
        <f t="shared" si="2"/>
        <v>0.34136742128545405</v>
      </c>
      <c r="I20" s="12"/>
      <c r="AT20" s="3"/>
      <c r="AU20" s="3"/>
      <c r="AW20" s="3"/>
      <c r="AY20" s="3"/>
    </row>
    <row r="21" spans="1:51" ht="15">
      <c r="A21" s="12"/>
      <c r="B21" s="46"/>
      <c r="C21" s="17"/>
      <c r="D21" s="17"/>
      <c r="E21" s="17"/>
      <c r="F21" s="17"/>
      <c r="G21" s="17"/>
      <c r="H21" s="25"/>
      <c r="I21" s="12"/>
      <c r="AT21" s="3"/>
      <c r="AU21" s="3"/>
      <c r="AW21" s="3"/>
      <c r="AY21" s="3"/>
    </row>
    <row r="22" spans="1:51" ht="15">
      <c r="A22" s="12"/>
      <c r="B22" s="45" t="s">
        <v>47</v>
      </c>
      <c r="C22" s="19">
        <f>1581+4206</f>
        <v>5787</v>
      </c>
      <c r="D22" s="19">
        <f>3658+6891</f>
        <v>10549</v>
      </c>
      <c r="E22" s="20">
        <f aca="true" t="shared" si="3" ref="E22:E28">D22-C22</f>
        <v>4762</v>
      </c>
      <c r="F22" s="19">
        <f>5987+9916</f>
        <v>15903</v>
      </c>
      <c r="G22" s="20">
        <f aca="true" t="shared" si="4" ref="G22:G28">F22-D22</f>
        <v>5354</v>
      </c>
      <c r="H22" s="25">
        <f aca="true" t="shared" si="5" ref="H22:H28">IF(D22=0,0,(F22/D22)-1)</f>
        <v>0.5075362593610768</v>
      </c>
      <c r="I22" s="12"/>
      <c r="AT22" s="3"/>
      <c r="AU22" s="3"/>
      <c r="AW22" s="3"/>
      <c r="AY22" s="3"/>
    </row>
    <row r="23" spans="1:9" ht="15">
      <c r="A23" s="12"/>
      <c r="B23" s="45" t="s">
        <v>48</v>
      </c>
      <c r="C23" s="19">
        <v>12734</v>
      </c>
      <c r="D23" s="19">
        <v>18657</v>
      </c>
      <c r="E23" s="20">
        <f t="shared" si="3"/>
        <v>5923</v>
      </c>
      <c r="F23" s="19">
        <v>33051</v>
      </c>
      <c r="G23" s="20">
        <f t="shared" si="4"/>
        <v>14394</v>
      </c>
      <c r="H23" s="25">
        <f t="shared" si="5"/>
        <v>0.7715066730985689</v>
      </c>
      <c r="I23" s="12"/>
    </row>
    <row r="24" spans="1:9" ht="15">
      <c r="A24" s="12"/>
      <c r="B24" s="45" t="s">
        <v>49</v>
      </c>
      <c r="C24" s="19">
        <v>1771</v>
      </c>
      <c r="D24" s="19">
        <v>2098</v>
      </c>
      <c r="E24" s="20">
        <f t="shared" si="3"/>
        <v>327</v>
      </c>
      <c r="F24" s="19">
        <v>2506</v>
      </c>
      <c r="G24" s="20">
        <f t="shared" si="4"/>
        <v>408</v>
      </c>
      <c r="H24" s="25">
        <f t="shared" si="5"/>
        <v>0.19447092469018123</v>
      </c>
      <c r="I24" s="12"/>
    </row>
    <row r="25" spans="1:51" ht="15">
      <c r="A25" s="12"/>
      <c r="B25" s="45" t="s">
        <v>50</v>
      </c>
      <c r="C25" s="19">
        <f>1117+841+796</f>
        <v>2754</v>
      </c>
      <c r="D25" s="19">
        <f>1665+1370+3042</f>
        <v>6077</v>
      </c>
      <c r="E25" s="20">
        <f t="shared" si="3"/>
        <v>3323</v>
      </c>
      <c r="F25" s="19">
        <f>2296+2107+839</f>
        <v>5242</v>
      </c>
      <c r="G25" s="20">
        <f t="shared" si="4"/>
        <v>-835</v>
      </c>
      <c r="H25" s="25">
        <f t="shared" si="5"/>
        <v>-0.13740332400855682</v>
      </c>
      <c r="I25" s="12"/>
      <c r="AT25" s="3"/>
      <c r="AU25" s="3"/>
      <c r="AW25" s="3"/>
      <c r="AY25" s="3"/>
    </row>
    <row r="26" spans="1:51" ht="15">
      <c r="A26" s="12"/>
      <c r="B26" s="45" t="s">
        <v>51</v>
      </c>
      <c r="C26" s="19">
        <v>553</v>
      </c>
      <c r="D26" s="19">
        <v>266</v>
      </c>
      <c r="E26" s="20">
        <f t="shared" si="3"/>
        <v>-287</v>
      </c>
      <c r="F26" s="19"/>
      <c r="G26" s="20">
        <f t="shared" si="4"/>
        <v>-266</v>
      </c>
      <c r="H26" s="25">
        <f t="shared" si="5"/>
        <v>-1</v>
      </c>
      <c r="I26" s="12"/>
      <c r="AT26" s="3"/>
      <c r="AU26" s="3"/>
      <c r="AW26" s="3"/>
      <c r="AY26" s="3"/>
    </row>
    <row r="27" spans="1:51" ht="15">
      <c r="A27" s="12"/>
      <c r="B27" s="45" t="s">
        <v>52</v>
      </c>
      <c r="C27" s="19">
        <f>6677+2358</f>
        <v>9035</v>
      </c>
      <c r="D27" s="19">
        <f>8749+4314</f>
        <v>13063</v>
      </c>
      <c r="E27" s="20">
        <f t="shared" si="3"/>
        <v>4028</v>
      </c>
      <c r="F27" s="19">
        <v>18858</v>
      </c>
      <c r="G27" s="20">
        <f t="shared" si="4"/>
        <v>5795</v>
      </c>
      <c r="H27" s="25">
        <f t="shared" si="5"/>
        <v>0.4436193829901247</v>
      </c>
      <c r="I27" s="12"/>
      <c r="AT27" s="3"/>
      <c r="AU27" s="3"/>
      <c r="AW27" s="3"/>
      <c r="AY27" s="3"/>
    </row>
    <row r="28" spans="1:51" ht="15">
      <c r="A28" s="12"/>
      <c r="B28" s="45" t="s">
        <v>53</v>
      </c>
      <c r="C28" s="20">
        <f>SUM(C22:C26)-C27</f>
        <v>14564</v>
      </c>
      <c r="D28" s="20">
        <f>SUM(D22:D26)-D27</f>
        <v>24584</v>
      </c>
      <c r="E28" s="20">
        <f t="shared" si="3"/>
        <v>10020</v>
      </c>
      <c r="F28" s="20">
        <f>SUM(F22:F26)-F27</f>
        <v>37844</v>
      </c>
      <c r="G28" s="20">
        <f t="shared" si="4"/>
        <v>13260</v>
      </c>
      <c r="H28" s="25">
        <f t="shared" si="5"/>
        <v>0.5393752033843151</v>
      </c>
      <c r="I28" s="12"/>
      <c r="AT28" s="3"/>
      <c r="AU28" s="3"/>
      <c r="AW28" s="3"/>
      <c r="AY28" s="3"/>
    </row>
    <row r="29" spans="1:51" ht="15">
      <c r="A29" s="12"/>
      <c r="B29" s="46"/>
      <c r="C29" s="17"/>
      <c r="D29" s="17"/>
      <c r="E29" s="17"/>
      <c r="F29" s="17"/>
      <c r="G29" s="17"/>
      <c r="H29" s="25"/>
      <c r="I29" s="12"/>
      <c r="AT29" s="3"/>
      <c r="AU29" s="3"/>
      <c r="AW29" s="3"/>
      <c r="AY29" s="3"/>
    </row>
    <row r="30" spans="1:51" ht="15">
      <c r="A30" s="12"/>
      <c r="B30" s="45" t="s">
        <v>54</v>
      </c>
      <c r="C30" s="19"/>
      <c r="D30" s="19"/>
      <c r="E30" s="20">
        <f aca="true" t="shared" si="6" ref="E30:E38">D30-C30</f>
        <v>0</v>
      </c>
      <c r="F30" s="19"/>
      <c r="G30" s="20">
        <f aca="true" t="shared" si="7" ref="G30:G37">F30-D30</f>
        <v>0</v>
      </c>
      <c r="H30" s="25">
        <f aca="true" t="shared" si="8" ref="H30:H38">IF(D30=0,0,(F30/D30)-1)</f>
        <v>0</v>
      </c>
      <c r="I30" s="12"/>
      <c r="AT30" s="3"/>
      <c r="AU30" s="3"/>
      <c r="AW30" s="3"/>
      <c r="AY30" s="3"/>
    </row>
    <row r="31" spans="1:9" ht="15">
      <c r="A31" s="12"/>
      <c r="B31" s="45" t="s">
        <v>55</v>
      </c>
      <c r="C31" s="19">
        <v>3666</v>
      </c>
      <c r="D31" s="19">
        <v>9157</v>
      </c>
      <c r="E31" s="20">
        <f t="shared" si="6"/>
        <v>5491</v>
      </c>
      <c r="F31" s="19">
        <v>21911</v>
      </c>
      <c r="G31" s="20">
        <f t="shared" si="7"/>
        <v>12754</v>
      </c>
      <c r="H31" s="25">
        <f t="shared" si="8"/>
        <v>1.39281424047177</v>
      </c>
      <c r="I31" s="12"/>
    </row>
    <row r="32" spans="1:51" ht="15">
      <c r="A32" s="12"/>
      <c r="B32" s="45" t="s">
        <v>56</v>
      </c>
      <c r="C32" s="19"/>
      <c r="D32" s="19"/>
      <c r="E32" s="20">
        <f t="shared" si="6"/>
        <v>0</v>
      </c>
      <c r="F32" s="19">
        <v>1186</v>
      </c>
      <c r="G32" s="20">
        <f t="shared" si="7"/>
        <v>1186</v>
      </c>
      <c r="H32" s="25">
        <f t="shared" si="8"/>
        <v>0</v>
      </c>
      <c r="I32" s="12"/>
      <c r="AT32" s="3"/>
      <c r="AU32" s="3"/>
      <c r="AW32" s="3"/>
      <c r="AY32" s="3"/>
    </row>
    <row r="33" spans="1:51" ht="15">
      <c r="A33" s="12"/>
      <c r="B33" s="45" t="s">
        <v>57</v>
      </c>
      <c r="C33" s="19"/>
      <c r="D33" s="19"/>
      <c r="E33" s="20">
        <f t="shared" si="6"/>
        <v>0</v>
      </c>
      <c r="F33" s="19"/>
      <c r="G33" s="20">
        <f t="shared" si="7"/>
        <v>0</v>
      </c>
      <c r="H33" s="25">
        <f t="shared" si="8"/>
        <v>0</v>
      </c>
      <c r="I33" s="12"/>
      <c r="AT33" s="3"/>
      <c r="AU33" s="3"/>
      <c r="AW33" s="3"/>
      <c r="AY33" s="3"/>
    </row>
    <row r="34" spans="1:51" ht="15">
      <c r="A34" s="12"/>
      <c r="B34" s="45" t="s">
        <v>58</v>
      </c>
      <c r="C34" s="19">
        <v>514</v>
      </c>
      <c r="D34" s="19">
        <v>1018</v>
      </c>
      <c r="E34" s="20">
        <f t="shared" si="6"/>
        <v>504</v>
      </c>
      <c r="F34" s="19">
        <v>736</v>
      </c>
      <c r="G34" s="20">
        <f t="shared" si="7"/>
        <v>-282</v>
      </c>
      <c r="H34" s="25">
        <f t="shared" si="8"/>
        <v>-0.2770137524557956</v>
      </c>
      <c r="I34" s="12"/>
      <c r="AT34" s="3"/>
      <c r="AU34" s="3"/>
      <c r="AW34" s="3"/>
      <c r="AY34" s="3"/>
    </row>
    <row r="35" spans="1:51" ht="15">
      <c r="A35" s="12"/>
      <c r="B35" s="45" t="s">
        <v>59</v>
      </c>
      <c r="C35" s="19">
        <v>833</v>
      </c>
      <c r="D35" s="19">
        <f>2008+1378</f>
        <v>3386</v>
      </c>
      <c r="E35" s="20">
        <f t="shared" si="6"/>
        <v>2553</v>
      </c>
      <c r="F35" s="19"/>
      <c r="G35" s="20">
        <f t="shared" si="7"/>
        <v>-3386</v>
      </c>
      <c r="H35" s="25">
        <f t="shared" si="8"/>
        <v>-1</v>
      </c>
      <c r="I35" s="12"/>
      <c r="AT35" s="3"/>
      <c r="AU35" s="3"/>
      <c r="AW35" s="3"/>
      <c r="AY35" s="3"/>
    </row>
    <row r="36" spans="1:9" ht="15">
      <c r="A36" s="12"/>
      <c r="B36" s="45" t="s">
        <v>60</v>
      </c>
      <c r="C36" s="19">
        <v>32063</v>
      </c>
      <c r="D36" s="19">
        <v>129245</v>
      </c>
      <c r="E36" s="20">
        <f t="shared" si="6"/>
        <v>97182</v>
      </c>
      <c r="F36" s="19">
        <v>154071</v>
      </c>
      <c r="G36" s="20">
        <f t="shared" si="7"/>
        <v>24826</v>
      </c>
      <c r="H36" s="25">
        <f t="shared" si="8"/>
        <v>0.19208480018569385</v>
      </c>
      <c r="I36" s="12"/>
    </row>
    <row r="37" spans="1:51" ht="15">
      <c r="A37" s="12"/>
      <c r="B37" s="45" t="s">
        <v>61</v>
      </c>
      <c r="C37" s="20">
        <f>SUM(C28:C36)+C20</f>
        <v>98549</v>
      </c>
      <c r="D37" s="20">
        <f>SUM(D28:D36)+D20</f>
        <v>228878</v>
      </c>
      <c r="E37" s="20">
        <f t="shared" si="6"/>
        <v>130329</v>
      </c>
      <c r="F37" s="20">
        <f>SUM(F28:F36)+F20</f>
        <v>298226</v>
      </c>
      <c r="G37" s="20">
        <f t="shared" si="7"/>
        <v>69348</v>
      </c>
      <c r="H37" s="25">
        <f t="shared" si="8"/>
        <v>0.30299111316946137</v>
      </c>
      <c r="I37" s="12"/>
      <c r="AT37" s="3"/>
      <c r="AU37" s="3"/>
      <c r="AW37" s="3"/>
      <c r="AY37" s="3"/>
    </row>
    <row r="38" spans="1:51" ht="15.75" thickBot="1">
      <c r="A38" s="12"/>
      <c r="B38" s="45" t="s">
        <v>62</v>
      </c>
      <c r="C38" s="19">
        <v>24782</v>
      </c>
      <c r="D38" s="19">
        <v>68604</v>
      </c>
      <c r="E38" s="20">
        <f t="shared" si="6"/>
        <v>43822</v>
      </c>
      <c r="F38" s="19">
        <v>132738</v>
      </c>
      <c r="G38" s="20">
        <f>IF($C$37=0,0,+F38-E38)</f>
        <v>88916</v>
      </c>
      <c r="H38" s="25">
        <f t="shared" si="8"/>
        <v>0.9348434493615532</v>
      </c>
      <c r="I38" s="12"/>
      <c r="AT38" s="3"/>
      <c r="AU38" s="3"/>
      <c r="AW38" s="3"/>
      <c r="AY38" s="3"/>
    </row>
    <row r="39" spans="1:9" ht="15.75" thickTop="1">
      <c r="A39" s="12"/>
      <c r="B39" s="44" t="s">
        <v>31</v>
      </c>
      <c r="C39" s="15">
        <f>C10</f>
        <v>1993</v>
      </c>
      <c r="D39" s="15">
        <f>D10</f>
        <v>1994</v>
      </c>
      <c r="E39" s="14" t="s">
        <v>63</v>
      </c>
      <c r="F39" s="15">
        <f>F10</f>
        <v>1995</v>
      </c>
      <c r="G39" s="14" t="s">
        <v>33</v>
      </c>
      <c r="H39" s="14" t="s">
        <v>34</v>
      </c>
      <c r="I39" s="12"/>
    </row>
    <row r="40" spans="1:51" ht="15.75" thickBot="1">
      <c r="A40" s="12"/>
      <c r="B40" s="45" t="s">
        <v>64</v>
      </c>
      <c r="E40" s="2" t="str">
        <f>E11</f>
        <v>   94-93</v>
      </c>
      <c r="F40" s="2">
        <f>F11</f>
        <v>0</v>
      </c>
      <c r="G40" s="35" t="str">
        <f>G11</f>
        <v>95-94</v>
      </c>
      <c r="H40" s="37" t="str">
        <f>H11</f>
        <v>95-94</v>
      </c>
      <c r="I40" s="12"/>
      <c r="AT40" s="3"/>
      <c r="AU40" s="3"/>
      <c r="AW40" s="3"/>
      <c r="AY40" s="3"/>
    </row>
    <row r="41" spans="1:9" ht="15.75" thickTop="1">
      <c r="A41" s="11"/>
      <c r="B41" s="44" t="s">
        <v>65</v>
      </c>
      <c r="C41" s="18">
        <f>1562+6037</f>
        <v>7599</v>
      </c>
      <c r="D41" s="18">
        <f>5521+9935</f>
        <v>15456</v>
      </c>
      <c r="E41" s="16">
        <f aca="true" t="shared" si="9" ref="E41:E48">D41-C41</f>
        <v>7857</v>
      </c>
      <c r="F41" s="18">
        <v>25294</v>
      </c>
      <c r="G41" s="16">
        <f aca="true" t="shared" si="10" ref="G41:G48">F41-D41</f>
        <v>9838</v>
      </c>
      <c r="H41" s="24">
        <f aca="true" t="shared" si="11" ref="H41:H48">IF(D41=0,0,(F41/D41)-1)</f>
        <v>0.636516563146998</v>
      </c>
      <c r="I41" s="12"/>
    </row>
    <row r="42" spans="1:9" ht="15">
      <c r="A42" s="12"/>
      <c r="B42" s="45" t="s">
        <v>66</v>
      </c>
      <c r="C42" s="19">
        <v>8932</v>
      </c>
      <c r="D42" s="19">
        <v>14477</v>
      </c>
      <c r="E42" s="20">
        <f t="shared" si="9"/>
        <v>5545</v>
      </c>
      <c r="F42" s="19">
        <v>19973</v>
      </c>
      <c r="G42" s="20">
        <f t="shared" si="10"/>
        <v>5496</v>
      </c>
      <c r="H42" s="25">
        <f t="shared" si="11"/>
        <v>0.3796366650549148</v>
      </c>
      <c r="I42" s="12"/>
    </row>
    <row r="43" spans="1:9" ht="15">
      <c r="A43" s="12"/>
      <c r="B43" s="45" t="s">
        <v>67</v>
      </c>
      <c r="C43" s="19"/>
      <c r="D43" s="19"/>
      <c r="E43" s="20">
        <f t="shared" si="9"/>
        <v>0</v>
      </c>
      <c r="F43" s="19"/>
      <c r="G43" s="20">
        <f t="shared" si="10"/>
        <v>0</v>
      </c>
      <c r="H43" s="25">
        <f t="shared" si="11"/>
        <v>0</v>
      </c>
      <c r="I43" s="12"/>
    </row>
    <row r="44" spans="1:51" ht="15">
      <c r="A44" s="12"/>
      <c r="B44" s="45" t="s">
        <v>68</v>
      </c>
      <c r="C44" s="19"/>
      <c r="D44" s="19"/>
      <c r="E44" s="20">
        <f t="shared" si="9"/>
        <v>0</v>
      </c>
      <c r="F44" s="19"/>
      <c r="G44" s="20">
        <f t="shared" si="10"/>
        <v>0</v>
      </c>
      <c r="H44" s="25">
        <f t="shared" si="11"/>
        <v>0</v>
      </c>
      <c r="I44" s="12"/>
      <c r="AT44" s="3"/>
      <c r="AU44" s="3"/>
      <c r="AW44" s="3"/>
      <c r="AY44" s="3"/>
    </row>
    <row r="45" spans="1:9" ht="15">
      <c r="A45" s="12"/>
      <c r="B45" s="45" t="s">
        <v>69</v>
      </c>
      <c r="C45" s="19">
        <v>394</v>
      </c>
      <c r="D45" s="19">
        <v>667</v>
      </c>
      <c r="E45" s="20">
        <f t="shared" si="9"/>
        <v>273</v>
      </c>
      <c r="F45" s="19">
        <f>509+615</f>
        <v>1124</v>
      </c>
      <c r="G45" s="20">
        <f t="shared" si="10"/>
        <v>457</v>
      </c>
      <c r="H45" s="25">
        <f t="shared" si="11"/>
        <v>0.6851574212893554</v>
      </c>
      <c r="I45" s="12"/>
    </row>
    <row r="46" spans="1:9" ht="15">
      <c r="A46" s="12"/>
      <c r="B46" s="45" t="s">
        <v>70</v>
      </c>
      <c r="C46" s="19">
        <v>5059</v>
      </c>
      <c r="D46" s="19">
        <v>6937</v>
      </c>
      <c r="E46" s="20">
        <f t="shared" si="9"/>
        <v>1878</v>
      </c>
      <c r="F46" s="19">
        <v>6451</v>
      </c>
      <c r="G46" s="20">
        <f t="shared" si="10"/>
        <v>-486</v>
      </c>
      <c r="H46" s="25">
        <f t="shared" si="11"/>
        <v>-0.07005910335880061</v>
      </c>
      <c r="I46" s="12"/>
    </row>
    <row r="47" spans="1:9" ht="15">
      <c r="A47" s="12"/>
      <c r="B47" s="45">
        <v>0</v>
      </c>
      <c r="C47" s="19"/>
      <c r="D47" s="19"/>
      <c r="E47" s="20">
        <f t="shared" si="9"/>
        <v>0</v>
      </c>
      <c r="F47" s="19"/>
      <c r="G47" s="20">
        <f t="shared" si="10"/>
        <v>0</v>
      </c>
      <c r="H47" s="25">
        <f t="shared" si="11"/>
        <v>0</v>
      </c>
      <c r="I47" s="12"/>
    </row>
    <row r="48" spans="1:9" ht="15">
      <c r="A48" s="12"/>
      <c r="B48" s="45" t="s">
        <v>71</v>
      </c>
      <c r="C48" s="20">
        <f>SUM(C41:C47)</f>
        <v>21984</v>
      </c>
      <c r="D48" s="20">
        <f>SUM(D41:D47)</f>
        <v>37537</v>
      </c>
      <c r="E48" s="20">
        <f t="shared" si="9"/>
        <v>15553</v>
      </c>
      <c r="F48" s="20">
        <f>SUM(F41:F47)</f>
        <v>52842</v>
      </c>
      <c r="G48" s="20">
        <f t="shared" si="10"/>
        <v>15305</v>
      </c>
      <c r="H48" s="25">
        <f t="shared" si="11"/>
        <v>0.40773103870847427</v>
      </c>
      <c r="I48" s="12"/>
    </row>
    <row r="49" spans="1:51" ht="15">
      <c r="A49" s="12"/>
      <c r="B49" s="46"/>
      <c r="C49" s="17"/>
      <c r="D49" s="17"/>
      <c r="E49" s="17"/>
      <c r="F49" s="17"/>
      <c r="G49" s="17"/>
      <c r="H49" s="25"/>
      <c r="I49" s="12"/>
      <c r="AT49" s="3"/>
      <c r="AU49" s="3"/>
      <c r="AW49" s="3"/>
      <c r="AY49" s="3"/>
    </row>
    <row r="50" spans="1:51" ht="15">
      <c r="A50" s="12"/>
      <c r="B50" s="45" t="s">
        <v>72</v>
      </c>
      <c r="C50" s="19">
        <v>965</v>
      </c>
      <c r="D50" s="19">
        <v>812</v>
      </c>
      <c r="E50" s="20">
        <f>D50-C50</f>
        <v>-153</v>
      </c>
      <c r="F50" s="19">
        <v>10018</v>
      </c>
      <c r="G50" s="20">
        <f>F50-D50</f>
        <v>9206</v>
      </c>
      <c r="H50" s="25">
        <f>IF(D50=0,0,(F50/D50)-1)</f>
        <v>11.33743842364532</v>
      </c>
      <c r="I50" s="12"/>
      <c r="AT50" s="3"/>
      <c r="AU50" s="3"/>
      <c r="AW50" s="3"/>
      <c r="AY50" s="3"/>
    </row>
    <row r="51" spans="1:51" ht="15">
      <c r="A51" s="12"/>
      <c r="B51" s="45" t="s">
        <v>73</v>
      </c>
      <c r="C51" s="19"/>
      <c r="D51" s="19"/>
      <c r="E51" s="20">
        <f>D51-C51</f>
        <v>0</v>
      </c>
      <c r="F51" s="19"/>
      <c r="G51" s="20">
        <f>F51-D51</f>
        <v>0</v>
      </c>
      <c r="H51" s="25">
        <f>IF(D51=0,0,(F51/D51)-1)</f>
        <v>0</v>
      </c>
      <c r="I51" s="12"/>
      <c r="AT51" s="3"/>
      <c r="AU51" s="3"/>
      <c r="AW51" s="3"/>
      <c r="AY51" s="3"/>
    </row>
    <row r="52" spans="1:51" ht="15">
      <c r="A52" s="12"/>
      <c r="B52" s="45" t="s">
        <v>74</v>
      </c>
      <c r="C52" s="19">
        <v>2867</v>
      </c>
      <c r="D52" s="19">
        <f>3112+5</f>
        <v>3117</v>
      </c>
      <c r="E52" s="20">
        <f>D52-C52</f>
        <v>250</v>
      </c>
      <c r="F52" s="19">
        <v>4051</v>
      </c>
      <c r="G52" s="20">
        <f>F52-D52</f>
        <v>934</v>
      </c>
      <c r="H52" s="25">
        <f>IF(D52=0,0,(F52/D52)-1)</f>
        <v>0.299647096567212</v>
      </c>
      <c r="I52" s="12"/>
      <c r="AT52" s="3"/>
      <c r="AU52" s="3"/>
      <c r="AW52" s="3"/>
      <c r="AY52" s="3"/>
    </row>
    <row r="53" spans="1:9" ht="15">
      <c r="A53" s="12"/>
      <c r="B53" s="45" t="s">
        <v>75</v>
      </c>
      <c r="C53" s="19">
        <v>840</v>
      </c>
      <c r="D53" s="19">
        <v>160</v>
      </c>
      <c r="E53" s="20">
        <f>D53-C53</f>
        <v>-680</v>
      </c>
      <c r="F53" s="19">
        <v>165</v>
      </c>
      <c r="G53" s="20">
        <f>F53-D53</f>
        <v>5</v>
      </c>
      <c r="H53" s="25">
        <f>IF(D53=0,0,(F53/D53)-1)</f>
        <v>0.03125</v>
      </c>
      <c r="I53" s="12"/>
    </row>
    <row r="54" spans="1:9" ht="15">
      <c r="A54" s="12"/>
      <c r="B54" s="45" t="s">
        <v>76</v>
      </c>
      <c r="C54" s="20">
        <f>SUM(C50:C53)</f>
        <v>4672</v>
      </c>
      <c r="D54" s="20">
        <f>SUM(D50:D53)</f>
        <v>4089</v>
      </c>
      <c r="E54" s="20">
        <f>D54-C54</f>
        <v>-583</v>
      </c>
      <c r="F54" s="20">
        <f>SUM(F50:F53)</f>
        <v>14234</v>
      </c>
      <c r="G54" s="20">
        <f>F54-D54</f>
        <v>10145</v>
      </c>
      <c r="H54" s="25">
        <f>IF(D54=0,0,(F54/D54)-1)</f>
        <v>2.4810467106872096</v>
      </c>
      <c r="I54" s="12"/>
    </row>
    <row r="55" spans="1:9" ht="15">
      <c r="A55" s="12"/>
      <c r="B55" s="46"/>
      <c r="C55" s="17"/>
      <c r="D55" s="17"/>
      <c r="E55" s="17"/>
      <c r="F55" s="17"/>
      <c r="G55" s="17"/>
      <c r="H55" s="17"/>
      <c r="I55" s="12"/>
    </row>
    <row r="56" spans="1:9" ht="15.75" thickBot="1">
      <c r="A56" s="12"/>
      <c r="B56" s="45" t="s">
        <v>77</v>
      </c>
      <c r="C56" s="20">
        <f>C54+C48</f>
        <v>26656</v>
      </c>
      <c r="D56" s="20">
        <f>D54+D48</f>
        <v>41626</v>
      </c>
      <c r="E56" s="20">
        <f>D56-C56</f>
        <v>14970</v>
      </c>
      <c r="F56" s="20">
        <f>F54+F48</f>
        <v>67076</v>
      </c>
      <c r="G56" s="20">
        <f>F56-D56</f>
        <v>25450</v>
      </c>
      <c r="H56" s="25">
        <f>IF(D56=0,0,(F56/D56)-1)</f>
        <v>0.6113967232018449</v>
      </c>
      <c r="I56" s="12"/>
    </row>
    <row r="57" spans="1:9" ht="15.75" thickTop="1">
      <c r="A57" s="11"/>
      <c r="B57" s="44" t="s">
        <v>31</v>
      </c>
      <c r="C57" s="16">
        <f>C10</f>
        <v>1993</v>
      </c>
      <c r="D57" s="16">
        <f>D10</f>
        <v>1994</v>
      </c>
      <c r="E57" s="30" t="s">
        <v>63</v>
      </c>
      <c r="F57" s="16">
        <f>F10</f>
        <v>1995</v>
      </c>
      <c r="G57" s="30" t="s">
        <v>33</v>
      </c>
      <c r="H57" s="30" t="s">
        <v>34</v>
      </c>
      <c r="I57" s="12"/>
    </row>
    <row r="58" spans="1:51" ht="15.75" thickBot="1">
      <c r="A58" s="12"/>
      <c r="B58" s="45" t="s">
        <v>78</v>
      </c>
      <c r="C58" s="17"/>
      <c r="D58" s="17"/>
      <c r="E58" s="20" t="str">
        <f>E40</f>
        <v>   94-93</v>
      </c>
      <c r="F58" s="20">
        <f>F40</f>
        <v>0</v>
      </c>
      <c r="G58" s="36" t="str">
        <f>G40</f>
        <v>95-94</v>
      </c>
      <c r="H58" s="38" t="str">
        <f>H40</f>
        <v>95-94</v>
      </c>
      <c r="I58" s="12"/>
      <c r="AT58" s="3"/>
      <c r="AU58" s="3"/>
      <c r="AW58" s="3"/>
      <c r="AY58" s="3"/>
    </row>
    <row r="59" spans="1:51" ht="15.75" thickTop="1">
      <c r="A59" s="11"/>
      <c r="B59" s="44" t="s">
        <v>79</v>
      </c>
      <c r="C59" s="18">
        <v>48</v>
      </c>
      <c r="D59" s="18">
        <v>48</v>
      </c>
      <c r="E59" s="16">
        <f aca="true" t="shared" si="12" ref="E59:E68">D59-C59</f>
        <v>0</v>
      </c>
      <c r="F59" s="18">
        <v>49</v>
      </c>
      <c r="G59" s="16">
        <f aca="true" t="shared" si="13" ref="G59:G68">F59-D59</f>
        <v>1</v>
      </c>
      <c r="H59" s="24">
        <f aca="true" t="shared" si="14" ref="H59:H68">IF(D59=0,0,(F59/D59)-1)</f>
        <v>0.02083333333333326</v>
      </c>
      <c r="I59" s="12"/>
      <c r="AT59" s="3"/>
      <c r="AU59" s="3"/>
      <c r="AW59" s="3"/>
      <c r="AY59" s="3"/>
    </row>
    <row r="60" spans="1:9" ht="15">
      <c r="A60" s="12"/>
      <c r="B60" s="45" t="s">
        <v>80</v>
      </c>
      <c r="C60" s="19">
        <v>415</v>
      </c>
      <c r="D60" s="19">
        <v>415</v>
      </c>
      <c r="E60" s="20">
        <f t="shared" si="12"/>
        <v>0</v>
      </c>
      <c r="F60" s="19">
        <v>2146</v>
      </c>
      <c r="G60" s="20">
        <f t="shared" si="13"/>
        <v>1731</v>
      </c>
      <c r="H60" s="25">
        <f t="shared" si="14"/>
        <v>4.171084337349398</v>
      </c>
      <c r="I60" s="12"/>
    </row>
    <row r="61" spans="1:51" ht="15">
      <c r="A61" s="12"/>
      <c r="B61" s="45" t="s">
        <v>81</v>
      </c>
      <c r="C61" s="19">
        <v>15579</v>
      </c>
      <c r="D61" s="19">
        <v>22255</v>
      </c>
      <c r="E61" s="20">
        <f t="shared" si="12"/>
        <v>6676</v>
      </c>
      <c r="F61" s="19">
        <v>28869</v>
      </c>
      <c r="G61" s="20">
        <f t="shared" si="13"/>
        <v>6614</v>
      </c>
      <c r="H61" s="25">
        <f t="shared" si="14"/>
        <v>0.2971916423275669</v>
      </c>
      <c r="I61" s="12"/>
      <c r="AT61" s="3"/>
      <c r="AU61" s="3"/>
      <c r="AW61" s="3"/>
      <c r="AY61" s="3"/>
    </row>
    <row r="62" spans="1:9" ht="15">
      <c r="A62" s="12"/>
      <c r="B62" s="45" t="s">
        <v>82</v>
      </c>
      <c r="C62" s="19"/>
      <c r="D62" s="19"/>
      <c r="E62" s="20">
        <f t="shared" si="12"/>
        <v>0</v>
      </c>
      <c r="F62" s="19"/>
      <c r="G62" s="20">
        <f t="shared" si="13"/>
        <v>0</v>
      </c>
      <c r="H62" s="25">
        <f t="shared" si="14"/>
        <v>0</v>
      </c>
      <c r="I62" s="12"/>
    </row>
    <row r="63" spans="1:9" ht="15">
      <c r="A63" s="12"/>
      <c r="B63" s="45" t="s">
        <v>83</v>
      </c>
      <c r="C63" s="19">
        <v>15945</v>
      </c>
      <c r="D63" s="19">
        <v>20026</v>
      </c>
      <c r="E63" s="20">
        <f t="shared" si="12"/>
        <v>4081</v>
      </c>
      <c r="F63" s="19">
        <v>20455</v>
      </c>
      <c r="G63" s="20">
        <f t="shared" si="13"/>
        <v>429</v>
      </c>
      <c r="H63" s="25">
        <f t="shared" si="14"/>
        <v>0.021422151203435602</v>
      </c>
      <c r="I63" s="12"/>
    </row>
    <row r="64" spans="1:51" ht="15">
      <c r="A64" s="12"/>
      <c r="B64" s="45" t="s">
        <v>84</v>
      </c>
      <c r="C64" s="19">
        <v>7843</v>
      </c>
      <c r="D64" s="17">
        <v>15263</v>
      </c>
      <c r="E64" s="20">
        <f t="shared" si="12"/>
        <v>7420</v>
      </c>
      <c r="F64" s="17">
        <v>25560</v>
      </c>
      <c r="G64" s="20">
        <f t="shared" si="13"/>
        <v>10297</v>
      </c>
      <c r="H64" s="25">
        <f t="shared" si="14"/>
        <v>0.6746380134966914</v>
      </c>
      <c r="I64" s="12"/>
      <c r="AT64" s="3"/>
      <c r="AU64" s="3"/>
      <c r="AW64" s="3"/>
      <c r="AY64" s="3"/>
    </row>
    <row r="65" spans="1:51" ht="15">
      <c r="A65" s="12"/>
      <c r="B65" s="45" t="s">
        <v>85</v>
      </c>
      <c r="C65" s="19">
        <f>C36</f>
        <v>32063</v>
      </c>
      <c r="D65" s="19">
        <v>129245</v>
      </c>
      <c r="E65" s="20">
        <f t="shared" si="12"/>
        <v>97182</v>
      </c>
      <c r="F65" s="19">
        <f>F36</f>
        <v>154071</v>
      </c>
      <c r="G65" s="20">
        <f t="shared" si="13"/>
        <v>24826</v>
      </c>
      <c r="H65" s="25">
        <f t="shared" si="14"/>
        <v>0.19208480018569385</v>
      </c>
      <c r="I65" s="12"/>
      <c r="AT65" s="3"/>
      <c r="AU65" s="3"/>
      <c r="AW65" s="3"/>
      <c r="AY65" s="3"/>
    </row>
    <row r="66" spans="1:9" ht="15">
      <c r="A66" s="12"/>
      <c r="B66" s="45" t="s">
        <v>86</v>
      </c>
      <c r="C66" s="20">
        <f>SUM(C59:C65)</f>
        <v>71893</v>
      </c>
      <c r="D66" s="20">
        <f>SUM(D59:D65)</f>
        <v>187252</v>
      </c>
      <c r="E66" s="20">
        <f t="shared" si="12"/>
        <v>115359</v>
      </c>
      <c r="F66" s="20">
        <f>SUM(F59:F65)</f>
        <v>231150</v>
      </c>
      <c r="G66" s="20">
        <f t="shared" si="13"/>
        <v>43898</v>
      </c>
      <c r="H66" s="25">
        <f t="shared" si="14"/>
        <v>0.23443274304146278</v>
      </c>
      <c r="I66" s="12"/>
    </row>
    <row r="67" spans="1:9" ht="15">
      <c r="A67" s="12"/>
      <c r="B67" s="45" t="s">
        <v>87</v>
      </c>
      <c r="C67" s="20">
        <f>C56+C66</f>
        <v>98549</v>
      </c>
      <c r="D67" s="20">
        <f>D56+D66</f>
        <v>228878</v>
      </c>
      <c r="E67" s="20">
        <f t="shared" si="12"/>
        <v>130329</v>
      </c>
      <c r="F67" s="20">
        <f>F56+F66</f>
        <v>298226</v>
      </c>
      <c r="G67" s="20">
        <f t="shared" si="13"/>
        <v>69348</v>
      </c>
      <c r="H67" s="25">
        <f t="shared" si="14"/>
        <v>0.30299111316946137</v>
      </c>
      <c r="I67" s="12"/>
    </row>
    <row r="68" spans="1:51" ht="15.75" thickBot="1">
      <c r="A68" s="12"/>
      <c r="B68" s="45" t="s">
        <v>88</v>
      </c>
      <c r="C68" s="20">
        <f>C38</f>
        <v>24782</v>
      </c>
      <c r="D68" s="20">
        <f>D38</f>
        <v>68604</v>
      </c>
      <c r="E68" s="20">
        <f t="shared" si="12"/>
        <v>43822</v>
      </c>
      <c r="F68" s="20">
        <f>F38</f>
        <v>132738</v>
      </c>
      <c r="G68" s="20">
        <f t="shared" si="13"/>
        <v>64134</v>
      </c>
      <c r="H68" s="25">
        <f t="shared" si="14"/>
        <v>0.9348434493615532</v>
      </c>
      <c r="I68" s="12"/>
      <c r="AT68" s="3"/>
      <c r="AU68" s="3"/>
      <c r="AW68" s="3"/>
      <c r="AY68" s="3"/>
    </row>
    <row r="69" spans="1:51" ht="15.75" thickTop="1">
      <c r="A69" s="13"/>
      <c r="B69" s="47"/>
      <c r="C69" s="13"/>
      <c r="D69" s="13"/>
      <c r="E69" s="13"/>
      <c r="F69" s="13"/>
      <c r="G69" s="13"/>
      <c r="H69" s="33"/>
      <c r="AT69" s="3"/>
      <c r="AU69" s="3"/>
      <c r="AW69" s="3"/>
      <c r="AY69" s="3"/>
    </row>
    <row r="70" spans="1:51" ht="15">
      <c r="A70" s="54"/>
      <c r="B70" s="55"/>
      <c r="C70" s="54"/>
      <c r="D70" s="54"/>
      <c r="E70" s="54"/>
      <c r="F70" s="54"/>
      <c r="G70" s="54"/>
      <c r="H70" s="56"/>
      <c r="AT70" s="3"/>
      <c r="AU70" s="3"/>
      <c r="AW70" s="3"/>
      <c r="AY70" s="3"/>
    </row>
    <row r="71" spans="1:51" ht="15">
      <c r="A71" s="54"/>
      <c r="B71" s="55"/>
      <c r="C71" s="54"/>
      <c r="D71" s="54"/>
      <c r="E71" s="54"/>
      <c r="F71" s="54"/>
      <c r="G71" s="54"/>
      <c r="H71" s="56"/>
      <c r="AT71" s="3"/>
      <c r="AU71" s="3"/>
      <c r="AW71" s="3"/>
      <c r="AY71" s="3"/>
    </row>
    <row r="72" spans="1:51" ht="15">
      <c r="A72" s="54"/>
      <c r="B72" s="55"/>
      <c r="C72" s="54"/>
      <c r="D72" s="54"/>
      <c r="E72" s="54"/>
      <c r="F72" s="54"/>
      <c r="G72" s="54"/>
      <c r="H72" s="56"/>
      <c r="AT72" s="3"/>
      <c r="AU72" s="3"/>
      <c r="AW72" s="3"/>
      <c r="AY72" s="3"/>
    </row>
    <row r="73" spans="1:51" ht="15">
      <c r="A73" s="54"/>
      <c r="B73" s="55"/>
      <c r="C73" s="54"/>
      <c r="D73" s="54"/>
      <c r="E73" s="54"/>
      <c r="F73" s="54"/>
      <c r="G73" s="54"/>
      <c r="H73" s="56"/>
      <c r="AT73" s="3"/>
      <c r="AU73" s="3"/>
      <c r="AW73" s="3"/>
      <c r="AY73" s="3"/>
    </row>
    <row r="74" spans="1:51" ht="15">
      <c r="A74" s="54"/>
      <c r="B74" s="55"/>
      <c r="C74" s="54"/>
      <c r="D74" s="54"/>
      <c r="E74" s="54"/>
      <c r="F74" s="54"/>
      <c r="G74" s="54"/>
      <c r="H74" s="56"/>
      <c r="AT74" s="3"/>
      <c r="AU74" s="3"/>
      <c r="AW74" s="3"/>
      <c r="AY74" s="3"/>
    </row>
    <row r="75" spans="1:51" ht="15">
      <c r="A75" s="54"/>
      <c r="B75" s="55"/>
      <c r="C75" s="54"/>
      <c r="D75" s="54"/>
      <c r="E75" s="54"/>
      <c r="F75" s="54"/>
      <c r="G75" s="54"/>
      <c r="H75" s="56"/>
      <c r="AT75" s="3"/>
      <c r="AU75" s="3"/>
      <c r="AW75" s="3"/>
      <c r="AY75" s="3"/>
    </row>
    <row r="76" spans="1:51" ht="15">
      <c r="A76" s="54"/>
      <c r="B76" s="55"/>
      <c r="C76" s="54"/>
      <c r="D76" s="54"/>
      <c r="E76" s="54"/>
      <c r="F76" s="54"/>
      <c r="G76" s="54"/>
      <c r="H76" s="56"/>
      <c r="AT76" s="3"/>
      <c r="AU76" s="3"/>
      <c r="AW76" s="3"/>
      <c r="AY76" s="3"/>
    </row>
    <row r="77" spans="1:51" ht="15">
      <c r="A77" s="54"/>
      <c r="B77" s="55"/>
      <c r="C77" s="54"/>
      <c r="D77" s="54"/>
      <c r="E77" s="54"/>
      <c r="F77" s="54"/>
      <c r="G77" s="54"/>
      <c r="H77" s="56"/>
      <c r="AT77" s="3"/>
      <c r="AU77" s="3"/>
      <c r="AW77" s="3"/>
      <c r="AY77" s="3"/>
    </row>
    <row r="78" spans="2:51" ht="15.75" thickBot="1">
      <c r="B78" s="46"/>
      <c r="H78" s="6"/>
      <c r="AT78" s="3"/>
      <c r="AU78" s="3"/>
      <c r="AW78" s="3"/>
      <c r="AY78" s="3"/>
    </row>
    <row r="79" spans="1:11" ht="15.75" thickTop="1">
      <c r="A79" s="11"/>
      <c r="B79" s="48">
        <f>C2</f>
        <v>0</v>
      </c>
      <c r="C79" s="63" t="s">
        <v>89</v>
      </c>
      <c r="D79" s="64"/>
      <c r="E79" s="64"/>
      <c r="F79" s="64"/>
      <c r="G79" s="64"/>
      <c r="H79" s="64"/>
      <c r="I79" s="15" t="str">
        <f>H8</f>
        <v>MILES $</v>
      </c>
      <c r="J79" s="13"/>
      <c r="K79" s="12"/>
    </row>
    <row r="80" spans="1:11" ht="15.75" thickBot="1">
      <c r="A80" s="12"/>
      <c r="B80" s="49">
        <f>C3</f>
        <v>0</v>
      </c>
      <c r="K80" s="12"/>
    </row>
    <row r="81" spans="1:11" ht="15.75" thickTop="1">
      <c r="A81" s="11"/>
      <c r="B81" s="47"/>
      <c r="C81" s="16">
        <f>C10</f>
        <v>1993</v>
      </c>
      <c r="D81" s="16">
        <f>D10</f>
        <v>1994</v>
      </c>
      <c r="E81" s="30" t="s">
        <v>90</v>
      </c>
      <c r="F81" s="16">
        <f>F10</f>
        <v>1995</v>
      </c>
      <c r="G81" s="30" t="s">
        <v>91</v>
      </c>
      <c r="H81" s="30" t="s">
        <v>92</v>
      </c>
      <c r="I81" s="30" t="s">
        <v>93</v>
      </c>
      <c r="J81" s="21"/>
      <c r="K81" s="12"/>
    </row>
    <row r="82" spans="1:11" ht="15.75" thickBot="1">
      <c r="A82" s="12"/>
      <c r="B82" s="46"/>
      <c r="C82" s="17"/>
      <c r="D82" s="17"/>
      <c r="E82" s="20">
        <f>D81</f>
        <v>1994</v>
      </c>
      <c r="F82" s="20">
        <f>F58</f>
        <v>0</v>
      </c>
      <c r="G82" s="20">
        <f>F81</f>
        <v>1995</v>
      </c>
      <c r="H82" s="36" t="str">
        <f>G11</f>
        <v>95-94</v>
      </c>
      <c r="I82" s="20" t="str">
        <f>H11</f>
        <v>95-94</v>
      </c>
      <c r="J82" s="17"/>
      <c r="K82" s="12"/>
    </row>
    <row r="83" spans="1:11" ht="15.75" thickTop="1">
      <c r="A83" s="12"/>
      <c r="B83" s="44" t="s">
        <v>94</v>
      </c>
      <c r="C83" s="18">
        <v>180976</v>
      </c>
      <c r="D83" s="18">
        <v>228038</v>
      </c>
      <c r="E83" s="24">
        <f>IF($D$83=0,0,D83/$D$83)</f>
        <v>1</v>
      </c>
      <c r="F83" s="18">
        <v>279046</v>
      </c>
      <c r="G83" s="24">
        <f>IF($F$83=0,0,(F83/$F$83))</f>
        <v>1</v>
      </c>
      <c r="H83" s="16">
        <f>F83-D83</f>
        <v>51008</v>
      </c>
      <c r="I83" s="24">
        <f>IF(D83=0,0,(H83/D83))</f>
        <v>0.22368201790929582</v>
      </c>
      <c r="J83" s="13"/>
      <c r="K83" s="12"/>
    </row>
    <row r="84" spans="1:11" ht="15">
      <c r="A84" s="12"/>
      <c r="B84" s="45" t="s">
        <v>95</v>
      </c>
      <c r="C84" s="19">
        <f>113852+10829</f>
        <v>124681</v>
      </c>
      <c r="D84" s="19">
        <f>145784+12060</f>
        <v>157844</v>
      </c>
      <c r="E84" s="25">
        <f>IF($D$83=0,0,D84/$D$83)</f>
        <v>0.6921828818004017</v>
      </c>
      <c r="F84" s="19">
        <v>200360</v>
      </c>
      <c r="G84" s="25">
        <f>IF($F$83=0,0,(F84/$F$83))</f>
        <v>0.7180178178508203</v>
      </c>
      <c r="H84" s="20">
        <f>F84-D84</f>
        <v>42516</v>
      </c>
      <c r="I84" s="25">
        <f>IF(D84=0,0,(H84/D84))</f>
        <v>0.26935455259623425</v>
      </c>
      <c r="K84" s="12"/>
    </row>
    <row r="85" spans="1:11" ht="15">
      <c r="A85" s="12"/>
      <c r="B85" s="45" t="s">
        <v>96</v>
      </c>
      <c r="C85" s="20">
        <f>C83-C84</f>
        <v>56295</v>
      </c>
      <c r="D85" s="20">
        <f>D83-D84</f>
        <v>70194</v>
      </c>
      <c r="E85" s="25">
        <f>IF($D$83=0,0,D85/$D$83)</f>
        <v>0.30781711819959834</v>
      </c>
      <c r="F85" s="20">
        <f>F83-F84</f>
        <v>78686</v>
      </c>
      <c r="G85" s="25">
        <f>IF($F$83=0,0,(F85/$F$83))</f>
        <v>0.2819821821491797</v>
      </c>
      <c r="H85" s="20">
        <f>F85-D85</f>
        <v>8492</v>
      </c>
      <c r="I85" s="25">
        <f>IF(D85=0,0,(H85/D85))</f>
        <v>0.12097900105422116</v>
      </c>
      <c r="K85" s="12"/>
    </row>
    <row r="86" spans="1:11" ht="15">
      <c r="A86" s="12"/>
      <c r="B86" s="46"/>
      <c r="C86" s="17"/>
      <c r="D86" s="17"/>
      <c r="E86" s="25"/>
      <c r="F86" s="17"/>
      <c r="G86" s="32" t="s">
        <v>97</v>
      </c>
      <c r="H86" s="31" t="s">
        <v>97</v>
      </c>
      <c r="I86" s="25"/>
      <c r="K86" s="12"/>
    </row>
    <row r="87" spans="1:51" ht="15">
      <c r="A87" s="12"/>
      <c r="B87" s="45" t="s">
        <v>98</v>
      </c>
      <c r="C87" s="19">
        <f>5230+442</f>
        <v>5672</v>
      </c>
      <c r="D87" s="19">
        <f>6498+458</f>
        <v>6956</v>
      </c>
      <c r="E87" s="25">
        <f>IF($D$83=0,0,D87/$D$83)</f>
        <v>0.03050368798182759</v>
      </c>
      <c r="F87" s="19">
        <v>9083</v>
      </c>
      <c r="G87" s="25">
        <f>IF($F$83=0,0,(F87/$F$83))</f>
        <v>0.03255018885775105</v>
      </c>
      <c r="H87" s="20">
        <f>F87-D87</f>
        <v>2127</v>
      </c>
      <c r="I87" s="25">
        <f>IF(D87=0,0,(H87/D87))</f>
        <v>0.30577918343875793</v>
      </c>
      <c r="K87" s="12"/>
      <c r="AT87" s="3"/>
      <c r="AU87" s="3"/>
      <c r="AW87" s="3"/>
      <c r="AY87" s="3"/>
    </row>
    <row r="88" spans="1:11" ht="15">
      <c r="A88" s="12"/>
      <c r="B88" s="45" t="s">
        <v>99</v>
      </c>
      <c r="C88" s="19">
        <f>27824+2020</f>
        <v>29844</v>
      </c>
      <c r="D88" s="19">
        <v>39763</v>
      </c>
      <c r="E88" s="25">
        <f>IF($D$83=0,0,D88/$D$83)</f>
        <v>0.1743700611301625</v>
      </c>
      <c r="F88" s="19">
        <v>52172</v>
      </c>
      <c r="G88" s="25">
        <f>IF($F$83=0,0,(F88/$F$83))</f>
        <v>0.18696558990274004</v>
      </c>
      <c r="H88" s="20">
        <f>F88-D88</f>
        <v>12409</v>
      </c>
      <c r="I88" s="25">
        <f>IF(D88=0,0,(H88/D88))</f>
        <v>0.3120740386791741</v>
      </c>
      <c r="K88" s="12"/>
    </row>
    <row r="89" spans="1:11" ht="15">
      <c r="A89" s="12"/>
      <c r="B89" s="45" t="s">
        <v>100</v>
      </c>
      <c r="C89" s="20">
        <f>C87+C88</f>
        <v>35516</v>
      </c>
      <c r="D89" s="20">
        <f>D87+D88</f>
        <v>46719</v>
      </c>
      <c r="E89" s="25">
        <f>IF($D$83=0,0,D89/$D$83)</f>
        <v>0.2048737491119901</v>
      </c>
      <c r="F89" s="20">
        <f>F87+F88</f>
        <v>61255</v>
      </c>
      <c r="G89" s="25">
        <f>IF($F$83=0,0,(F89/$F$83))</f>
        <v>0.2195157787604911</v>
      </c>
      <c r="H89" s="20">
        <f>F89-D89</f>
        <v>14536</v>
      </c>
      <c r="I89" s="25">
        <f>IF(D89=0,0,(H89/D89))</f>
        <v>0.3111367965923928</v>
      </c>
      <c r="K89" s="12"/>
    </row>
    <row r="90" spans="1:51" ht="15">
      <c r="A90" s="12"/>
      <c r="B90" s="46"/>
      <c r="C90" s="17"/>
      <c r="D90" s="17"/>
      <c r="E90" s="25"/>
      <c r="F90" s="17"/>
      <c r="G90" s="32" t="s">
        <v>97</v>
      </c>
      <c r="H90" s="31" t="s">
        <v>97</v>
      </c>
      <c r="I90" s="25"/>
      <c r="K90" s="12"/>
      <c r="AT90" s="3"/>
      <c r="AU90" s="3"/>
      <c r="AW90" s="3"/>
      <c r="AY90" s="3"/>
    </row>
    <row r="91" spans="1:51" ht="15">
      <c r="A91" s="12"/>
      <c r="B91" s="45" t="s">
        <v>101</v>
      </c>
      <c r="C91" s="20">
        <f>C85-C89</f>
        <v>20779</v>
      </c>
      <c r="D91" s="20">
        <f>D85-D89</f>
        <v>23475</v>
      </c>
      <c r="E91" s="25">
        <f>IF($D$83=0,0,D91/$D$83)</f>
        <v>0.1029433690876082</v>
      </c>
      <c r="F91" s="20">
        <f>F85-F89</f>
        <v>17431</v>
      </c>
      <c r="G91" s="25">
        <f>IF($F$83=0,0,(F91/$F$83))</f>
        <v>0.062466403388688606</v>
      </c>
      <c r="H91" s="20">
        <f>F91-D91</f>
        <v>-6044</v>
      </c>
      <c r="I91" s="25">
        <f>IF(D91=0,0,(H91/D91))</f>
        <v>-0.2574653887113951</v>
      </c>
      <c r="K91" s="12"/>
      <c r="AT91" s="3"/>
      <c r="AU91" s="3"/>
      <c r="AW91" s="3"/>
      <c r="AY91" s="3"/>
    </row>
    <row r="92" spans="1:11" ht="15">
      <c r="A92" s="12"/>
      <c r="B92" s="46"/>
      <c r="C92" s="17"/>
      <c r="D92" s="17"/>
      <c r="E92" s="25"/>
      <c r="F92" s="17"/>
      <c r="G92" s="32" t="s">
        <v>97</v>
      </c>
      <c r="H92" s="31" t="s">
        <v>97</v>
      </c>
      <c r="I92" s="25"/>
      <c r="K92" s="12"/>
    </row>
    <row r="93" spans="1:11" ht="15">
      <c r="A93" s="12"/>
      <c r="B93" s="45" t="s">
        <v>102</v>
      </c>
      <c r="C93" s="19">
        <v>832</v>
      </c>
      <c r="D93" s="19">
        <v>1025</v>
      </c>
      <c r="E93" s="25">
        <f>IF($D$83=0,0,D93/$D$83)</f>
        <v>0.00449486489093923</v>
      </c>
      <c r="F93" s="19">
        <v>4973</v>
      </c>
      <c r="G93" s="25">
        <f>IF($F$83=0,0,(F93/$F$83))</f>
        <v>0.017821434458834745</v>
      </c>
      <c r="H93" s="20">
        <f>F93-D93</f>
        <v>3948</v>
      </c>
      <c r="I93" s="25">
        <f>IF(D93=0,0,(H93/D93))</f>
        <v>3.8517073170731706</v>
      </c>
      <c r="K93" s="12"/>
    </row>
    <row r="94" spans="1:11" ht="15">
      <c r="A94" s="12"/>
      <c r="B94" s="45" t="s">
        <v>103</v>
      </c>
      <c r="C94" s="19">
        <f>1916+1670</f>
        <v>3586</v>
      </c>
      <c r="D94" s="19">
        <f>1523+4195</f>
        <v>5718</v>
      </c>
      <c r="E94" s="25">
        <f>IF($D$83=0,0,D94/$D$83)</f>
        <v>0.02507476824038099</v>
      </c>
      <c r="F94" s="19">
        <f>4383+5640+1774</f>
        <v>11797</v>
      </c>
      <c r="G94" s="25">
        <f>IF($F$83=0,0,(F94/$F$83))</f>
        <v>0.04227618385499165</v>
      </c>
      <c r="H94" s="20">
        <f>F94-D94</f>
        <v>6079</v>
      </c>
      <c r="I94" s="25">
        <f>IF(D94=0,0,(H94/D94))</f>
        <v>1.0631339629240992</v>
      </c>
      <c r="K94" s="12"/>
    </row>
    <row r="95" spans="1:51" ht="15">
      <c r="A95" s="12"/>
      <c r="B95" s="45" t="s">
        <v>104</v>
      </c>
      <c r="C95" s="19">
        <v>477</v>
      </c>
      <c r="D95" s="19">
        <v>165</v>
      </c>
      <c r="E95" s="25">
        <f>IF($D$83=0,0,D95/$D$83)</f>
        <v>0.0007235636165902175</v>
      </c>
      <c r="F95" s="19">
        <v>0</v>
      </c>
      <c r="G95" s="25">
        <f>IF($F$83=0,0,(F95/$F$83))</f>
        <v>0</v>
      </c>
      <c r="H95" s="20">
        <f>F95-D95</f>
        <v>-165</v>
      </c>
      <c r="I95" s="25">
        <f>IF(D95=0,0,(H95/D95))</f>
        <v>-1</v>
      </c>
      <c r="K95" s="12"/>
      <c r="AT95" s="3"/>
      <c r="AU95" s="3"/>
      <c r="AW95" s="3"/>
      <c r="AY95" s="3"/>
    </row>
    <row r="96" spans="1:11" ht="15">
      <c r="A96" s="12"/>
      <c r="B96" s="45" t="s">
        <v>105</v>
      </c>
      <c r="C96" s="17">
        <v>-1798</v>
      </c>
      <c r="D96" s="17">
        <v>-1682</v>
      </c>
      <c r="E96" s="25">
        <f>IF($D$83=0,0,D96/$D$83)</f>
        <v>-0.007375963655180277</v>
      </c>
      <c r="F96" s="17">
        <v>2230</v>
      </c>
      <c r="G96" s="25">
        <f>IF($F$83=0,0,(F96/$F$83))</f>
        <v>0.007991513943937559</v>
      </c>
      <c r="H96" s="20">
        <f>F96-D96</f>
        <v>3912</v>
      </c>
      <c r="I96" s="25">
        <f>IF(D96=0,0,(H96/D96))</f>
        <v>-2.3258026159334126</v>
      </c>
      <c r="K96" s="12"/>
    </row>
    <row r="97" spans="1:51" ht="15">
      <c r="A97" s="12"/>
      <c r="B97" s="45" t="s">
        <v>106</v>
      </c>
      <c r="C97" s="20">
        <f>C91+C94-C93-C95+C96</f>
        <v>21258</v>
      </c>
      <c r="D97" s="20">
        <f>D91+D94-D93-D95+D96</f>
        <v>26321</v>
      </c>
      <c r="E97" s="25">
        <f>IF($D$83=0,0,D97/$D$83)</f>
        <v>0.11542374516527946</v>
      </c>
      <c r="F97" s="20">
        <f>F91+F94-F93-F95+F96</f>
        <v>26485</v>
      </c>
      <c r="G97" s="25">
        <f>IF($F$83=0,0,(F97/$F$83))</f>
        <v>0.09491266672878307</v>
      </c>
      <c r="H97" s="20">
        <f>F97-D97</f>
        <v>164</v>
      </c>
      <c r="I97" s="25">
        <f>IF(D97=0,0,(H97/D97))</f>
        <v>0.006230766308270962</v>
      </c>
      <c r="K97" s="12"/>
      <c r="AT97" s="3"/>
      <c r="AU97" s="3"/>
      <c r="AW97" s="3"/>
      <c r="AY97" s="3"/>
    </row>
    <row r="98" spans="1:51" ht="15">
      <c r="A98" s="12"/>
      <c r="B98" s="46"/>
      <c r="C98" s="17"/>
      <c r="D98" s="17"/>
      <c r="E98" s="32" t="s">
        <v>97</v>
      </c>
      <c r="F98" s="17"/>
      <c r="G98" s="32" t="s">
        <v>97</v>
      </c>
      <c r="H98" s="31" t="s">
        <v>97</v>
      </c>
      <c r="I98" s="25"/>
      <c r="K98" s="12"/>
      <c r="AT98" s="3"/>
      <c r="AU98" s="3"/>
      <c r="AW98" s="3"/>
      <c r="AY98" s="3"/>
    </row>
    <row r="99" spans="1:51" ht="15">
      <c r="A99" s="12"/>
      <c r="B99" s="45" t="s">
        <v>107</v>
      </c>
      <c r="C99" s="19">
        <v>5313</v>
      </c>
      <c r="D99" s="19">
        <v>6295</v>
      </c>
      <c r="E99" s="25">
        <f>IF($D$83=0,0,D99/$D$83)</f>
        <v>0.02760504828142678</v>
      </c>
      <c r="F99" s="19">
        <f>5856+174</f>
        <v>6030</v>
      </c>
      <c r="G99" s="25">
        <f>IF($F$83=0,0,(F99/$F$83))</f>
        <v>0.02160934039549035</v>
      </c>
      <c r="H99" s="20">
        <f>F99-D99</f>
        <v>-265</v>
      </c>
      <c r="I99" s="25">
        <f>IF(D99=0,0,(H99/D99))</f>
        <v>-0.04209690230341541</v>
      </c>
      <c r="K99" s="12"/>
      <c r="AT99" s="3"/>
      <c r="AU99" s="3"/>
      <c r="AW99" s="3"/>
      <c r="AY99" s="3"/>
    </row>
    <row r="100" spans="1:11" ht="15">
      <c r="A100" s="12"/>
      <c r="B100" s="46"/>
      <c r="C100" s="17"/>
      <c r="D100" s="17"/>
      <c r="E100" s="32" t="s">
        <v>97</v>
      </c>
      <c r="F100" s="17"/>
      <c r="G100" s="32" t="s">
        <v>97</v>
      </c>
      <c r="H100" s="31" t="s">
        <v>97</v>
      </c>
      <c r="I100" s="25"/>
      <c r="K100" s="12"/>
    </row>
    <row r="101" spans="1:11" ht="15.75" thickBot="1">
      <c r="A101" s="12"/>
      <c r="B101" s="45" t="s">
        <v>108</v>
      </c>
      <c r="C101" s="20">
        <f>C97-C99</f>
        <v>15945</v>
      </c>
      <c r="D101" s="20">
        <f>D97-D99</f>
        <v>20026</v>
      </c>
      <c r="E101" s="25">
        <f>IF($D$83=0,0,D101/$D$83)</f>
        <v>0.08781869688385269</v>
      </c>
      <c r="F101" s="20">
        <f>F97-F99</f>
        <v>20455</v>
      </c>
      <c r="G101" s="25">
        <f>IF($F$83=0,0,(F101/$F$83))</f>
        <v>0.07330332633329271</v>
      </c>
      <c r="H101" s="20">
        <f>F101-D101</f>
        <v>429</v>
      </c>
      <c r="I101" s="5">
        <f>IF(D101=0,0,(H101/D101))</f>
        <v>0.021422151203435533</v>
      </c>
      <c r="K101" s="12"/>
    </row>
    <row r="102" spans="1:51" ht="15.75" thickTop="1">
      <c r="A102" s="13"/>
      <c r="B102" s="47"/>
      <c r="C102" s="13"/>
      <c r="D102" s="13"/>
      <c r="E102" s="33"/>
      <c r="F102" s="13"/>
      <c r="G102" s="33"/>
      <c r="H102" s="13"/>
      <c r="I102" s="33"/>
      <c r="J102" s="13"/>
      <c r="AT102" s="3"/>
      <c r="AU102" s="3"/>
      <c r="AW102" s="3"/>
      <c r="AY102" s="3"/>
    </row>
    <row r="103" spans="1:2" ht="15">
      <c r="A103" s="1" t="s">
        <v>109</v>
      </c>
      <c r="B103" s="46"/>
    </row>
    <row r="104" ht="15.75" thickBot="1">
      <c r="B104" s="46"/>
    </row>
    <row r="105" spans="1:10" ht="15.75" thickTop="1">
      <c r="A105" s="11"/>
      <c r="B105" s="48">
        <f>C2</f>
        <v>0</v>
      </c>
      <c r="C105" s="63" t="s">
        <v>110</v>
      </c>
      <c r="D105" s="58"/>
      <c r="E105" s="58"/>
      <c r="F105" s="58"/>
      <c r="G105" s="13"/>
      <c r="H105" s="15" t="str">
        <f>H8</f>
        <v>MILES $</v>
      </c>
      <c r="I105" s="13"/>
      <c r="J105" s="12"/>
    </row>
    <row r="106" spans="1:10" ht="15.75" thickBot="1">
      <c r="A106" s="12"/>
      <c r="B106" s="49">
        <f>C3</f>
        <v>0</v>
      </c>
      <c r="J106" s="12"/>
    </row>
    <row r="107" spans="1:10" ht="16.5" thickBot="1" thickTop="1">
      <c r="A107" s="11"/>
      <c r="B107" s="44" t="s">
        <v>111</v>
      </c>
      <c r="C107" s="13"/>
      <c r="D107" s="15">
        <f>C10</f>
        <v>1993</v>
      </c>
      <c r="E107" s="13"/>
      <c r="F107" s="15">
        <f>D10</f>
        <v>1994</v>
      </c>
      <c r="G107" s="13"/>
      <c r="H107" s="15">
        <f>F10</f>
        <v>1995</v>
      </c>
      <c r="I107" s="13"/>
      <c r="J107" s="12"/>
    </row>
    <row r="108" spans="1:10" ht="15.75" thickTop="1">
      <c r="A108" s="11"/>
      <c r="B108" s="47"/>
      <c r="C108" s="13"/>
      <c r="D108" s="21"/>
      <c r="E108" s="13"/>
      <c r="F108" s="21"/>
      <c r="G108" s="13"/>
      <c r="H108" s="21"/>
      <c r="I108" s="13"/>
      <c r="J108" s="12"/>
    </row>
    <row r="109" spans="1:52" ht="15">
      <c r="A109" s="12"/>
      <c r="B109" s="45" t="s">
        <v>112</v>
      </c>
      <c r="D109" s="20">
        <f>C83</f>
        <v>180976</v>
      </c>
      <c r="F109" s="20">
        <f>D83</f>
        <v>228038</v>
      </c>
      <c r="H109" s="20">
        <f>F83</f>
        <v>279046</v>
      </c>
      <c r="J109" s="12"/>
      <c r="M109" s="1" t="s">
        <v>112</v>
      </c>
      <c r="V109" s="4"/>
      <c r="X109" s="4"/>
      <c r="Z109" s="4"/>
      <c r="AB109" s="4"/>
      <c r="AT109" s="4"/>
      <c r="AU109" s="4"/>
      <c r="AV109" s="4"/>
      <c r="AX109" s="4"/>
      <c r="AZ109" s="4"/>
    </row>
    <row r="110" spans="1:52" ht="15">
      <c r="A110" s="12"/>
      <c r="B110" s="45" t="s">
        <v>113</v>
      </c>
      <c r="D110" s="20">
        <f>C91</f>
        <v>20779</v>
      </c>
      <c r="F110" s="20">
        <f>D91</f>
        <v>23475</v>
      </c>
      <c r="H110" s="20">
        <f>F91</f>
        <v>17431</v>
      </c>
      <c r="J110" s="12"/>
      <c r="M110" s="1" t="s">
        <v>114</v>
      </c>
      <c r="V110" s="4"/>
      <c r="X110" s="4"/>
      <c r="Z110" s="4"/>
      <c r="AB110" s="4"/>
      <c r="AT110" s="4"/>
      <c r="AU110" s="4"/>
      <c r="AV110" s="4"/>
      <c r="AX110" s="4"/>
      <c r="AZ110" s="4"/>
    </row>
    <row r="111" spans="1:52" ht="15">
      <c r="A111" s="12"/>
      <c r="B111" s="45" t="s">
        <v>115</v>
      </c>
      <c r="D111" s="20">
        <f>C101</f>
        <v>15945</v>
      </c>
      <c r="F111" s="20">
        <f>D101</f>
        <v>20026</v>
      </c>
      <c r="H111" s="20">
        <f>F101</f>
        <v>20455</v>
      </c>
      <c r="J111" s="12"/>
      <c r="M111" s="1" t="s">
        <v>116</v>
      </c>
      <c r="V111" s="5"/>
      <c r="X111" s="5"/>
      <c r="Z111" s="5"/>
      <c r="AB111" s="5"/>
      <c r="AT111" s="5"/>
      <c r="AU111" s="5"/>
      <c r="AV111" s="5"/>
      <c r="AX111" s="5"/>
      <c r="AZ111" s="5"/>
    </row>
    <row r="112" spans="1:52" ht="15">
      <c r="A112" s="12"/>
      <c r="B112" s="45" t="s">
        <v>35</v>
      </c>
      <c r="D112" s="20">
        <f>C37</f>
        <v>98549</v>
      </c>
      <c r="F112" s="20">
        <f>D37</f>
        <v>228878</v>
      </c>
      <c r="H112" s="20">
        <f>F37</f>
        <v>298226</v>
      </c>
      <c r="J112" s="12"/>
      <c r="M112" s="1" t="s">
        <v>35</v>
      </c>
      <c r="V112" s="5"/>
      <c r="X112" s="5"/>
      <c r="Z112" s="5"/>
      <c r="AB112" s="5"/>
      <c r="AT112" s="5"/>
      <c r="AU112" s="5"/>
      <c r="AV112" s="5"/>
      <c r="AX112" s="5"/>
      <c r="AZ112" s="5"/>
    </row>
    <row r="113" spans="1:13" ht="15">
      <c r="A113" s="12"/>
      <c r="B113" s="45" t="s">
        <v>64</v>
      </c>
      <c r="D113" s="20">
        <f>C56</f>
        <v>26656</v>
      </c>
      <c r="F113" s="20">
        <f>D56</f>
        <v>41626</v>
      </c>
      <c r="H113" s="20">
        <f>F56</f>
        <v>67076</v>
      </c>
      <c r="J113" s="12"/>
      <c r="M113" s="1" t="s">
        <v>64</v>
      </c>
    </row>
    <row r="114" spans="1:13" ht="15">
      <c r="A114" s="12"/>
      <c r="B114" s="45" t="s">
        <v>78</v>
      </c>
      <c r="D114" s="20">
        <f>C66</f>
        <v>71893</v>
      </c>
      <c r="F114" s="20">
        <f>D66</f>
        <v>187252</v>
      </c>
      <c r="H114" s="20">
        <f>F66</f>
        <v>231150</v>
      </c>
      <c r="J114" s="12"/>
      <c r="M114" s="1" t="s">
        <v>117</v>
      </c>
    </row>
    <row r="115" spans="1:13" ht="15">
      <c r="A115" s="12"/>
      <c r="B115" s="45" t="s">
        <v>118</v>
      </c>
      <c r="D115" s="20">
        <f>C36</f>
        <v>32063</v>
      </c>
      <c r="F115" s="20">
        <f>D36</f>
        <v>129245</v>
      </c>
      <c r="H115" s="20">
        <f>F36</f>
        <v>154071</v>
      </c>
      <c r="J115" s="12"/>
      <c r="M115" s="1" t="s">
        <v>119</v>
      </c>
    </row>
    <row r="116" spans="1:10" ht="15">
      <c r="A116" s="12"/>
      <c r="B116" s="46"/>
      <c r="D116" s="17"/>
      <c r="F116" s="17"/>
      <c r="H116" s="17"/>
      <c r="J116" s="12"/>
    </row>
    <row r="117" spans="1:13" ht="15">
      <c r="A117" s="12"/>
      <c r="B117" s="59" t="s">
        <v>120</v>
      </c>
      <c r="D117" s="17"/>
      <c r="F117" s="17"/>
      <c r="H117" s="17"/>
      <c r="J117" s="12"/>
      <c r="M117" s="1" t="s">
        <v>120</v>
      </c>
    </row>
    <row r="118" spans="1:10" ht="15.75" thickBot="1">
      <c r="A118" s="12"/>
      <c r="B118" s="46"/>
      <c r="D118" s="17"/>
      <c r="F118" s="17"/>
      <c r="H118" s="17"/>
      <c r="J118" s="12"/>
    </row>
    <row r="119" spans="1:13" ht="15.75" thickTop="1">
      <c r="A119" s="12"/>
      <c r="B119" s="44" t="s">
        <v>121</v>
      </c>
      <c r="C119" s="13"/>
      <c r="D119" s="22">
        <f>IF(C48=0,0,C20/C48)</f>
        <v>2.133779112081514</v>
      </c>
      <c r="E119" s="34"/>
      <c r="F119" s="22">
        <f>IF(D48=0,0,D20/D48)</f>
        <v>1.6380637770732878</v>
      </c>
      <c r="G119" s="34"/>
      <c r="H119" s="22">
        <f>IF(F48=0,0,F20/F48)</f>
        <v>1.5608417546648499</v>
      </c>
      <c r="I119" s="13"/>
      <c r="J119" s="12"/>
      <c r="M119" s="14" t="s">
        <v>122</v>
      </c>
    </row>
    <row r="120" spans="1:13" ht="15">
      <c r="A120" s="12"/>
      <c r="B120" s="45" t="s">
        <v>123</v>
      </c>
      <c r="D120" s="23">
        <f>IF(C48=0,0,(C20-C15)/C48)</f>
        <v>1.3107714701601165</v>
      </c>
      <c r="E120" s="4"/>
      <c r="F120" s="23">
        <f>IF(D48=0,0,(D20-D15)/D48)</f>
        <v>0.9681114633561553</v>
      </c>
      <c r="G120" s="4"/>
      <c r="H120" s="23">
        <f>IF(F48=0,0,(F20-F15)/F48)</f>
        <v>1.0885280647969418</v>
      </c>
      <c r="J120" s="12"/>
      <c r="M120" s="1" t="s">
        <v>124</v>
      </c>
    </row>
    <row r="121" spans="1:13" ht="15">
      <c r="A121" s="12"/>
      <c r="B121" s="45" t="s">
        <v>125</v>
      </c>
      <c r="D121" s="23">
        <f>IF(C14=0,0,C83/C14)</f>
        <v>9.728323388700748</v>
      </c>
      <c r="E121" s="4"/>
      <c r="F121" s="23">
        <f>IF(D14=0,0,D83/D14)</f>
        <v>7.859314147854558</v>
      </c>
      <c r="G121" s="4"/>
      <c r="H121" s="23">
        <f>IF(F14=0,0,(F83*360)/(F14*C4))</f>
        <v>6.559029862367306</v>
      </c>
      <c r="J121" s="12"/>
      <c r="M121" s="1" t="s">
        <v>126</v>
      </c>
    </row>
    <row r="122" spans="1:13" ht="15">
      <c r="A122" s="12"/>
      <c r="B122" s="45" t="s">
        <v>127</v>
      </c>
      <c r="D122" s="23">
        <f>IF(C15=0,0,C84/C15)</f>
        <v>6.891118111977008</v>
      </c>
      <c r="E122" s="4"/>
      <c r="F122" s="23">
        <f>IF(D15=0,0,D84/D15)</f>
        <v>6.276602513122316</v>
      </c>
      <c r="G122" s="4"/>
      <c r="H122" s="23">
        <f>IF(F15=0,0,F84*360/(F15*C4))</f>
        <v>7.917915797169382</v>
      </c>
      <c r="J122" s="12"/>
      <c r="M122" s="1" t="s">
        <v>128</v>
      </c>
    </row>
    <row r="123" spans="1:13" ht="15">
      <c r="A123" s="12"/>
      <c r="B123" s="45" t="s">
        <v>129</v>
      </c>
      <c r="D123" s="23">
        <f>IF(C37=0,0,C20/C37)</f>
        <v>0.47599671229540635</v>
      </c>
      <c r="E123" s="4"/>
      <c r="F123" s="23">
        <f>IF(D37=0,0,D20/D37)</f>
        <v>0.2686496736252501</v>
      </c>
      <c r="G123" s="4"/>
      <c r="H123" s="23">
        <f>IF(F37=0,0,F20/F37)</f>
        <v>0.27656207037615765</v>
      </c>
      <c r="J123" s="12"/>
      <c r="M123" s="1" t="s">
        <v>130</v>
      </c>
    </row>
    <row r="124" spans="1:13" ht="15">
      <c r="A124" s="12"/>
      <c r="B124" s="45" t="s">
        <v>131</v>
      </c>
      <c r="D124" s="23">
        <f>IF(C20=0,0,IF(C14&gt;C15,C83/C20,C84/C20))</f>
        <v>3.8580229806646913</v>
      </c>
      <c r="E124" s="4"/>
      <c r="F124" s="23">
        <f>IF(D20=0,0,IF(D14&gt;D15,D83/D20,D84/D20))</f>
        <v>3.7086586000520425</v>
      </c>
      <c r="G124" s="4"/>
      <c r="H124" s="23">
        <f>IF(F20=0,0,IF(F14&gt;F15,F83*360/(F20*C4),F84*360/(F20*C4)))</f>
        <v>3.3369316915394958</v>
      </c>
      <c r="J124" s="12"/>
      <c r="M124" s="1" t="s">
        <v>132</v>
      </c>
    </row>
    <row r="125" spans="1:10" ht="15">
      <c r="A125" s="12"/>
      <c r="B125" s="46"/>
      <c r="D125" s="23"/>
      <c r="F125" s="17"/>
      <c r="H125" s="17"/>
      <c r="J125" s="12"/>
    </row>
    <row r="126" spans="1:13" ht="15.75" thickBot="1">
      <c r="A126" s="12"/>
      <c r="B126" s="59" t="s">
        <v>133</v>
      </c>
      <c r="D126" s="17"/>
      <c r="F126" s="17"/>
      <c r="H126" s="17"/>
      <c r="J126" s="12"/>
      <c r="M126" s="1" t="s">
        <v>133</v>
      </c>
    </row>
    <row r="127" spans="1:13" ht="15.75" thickTop="1">
      <c r="A127" s="12"/>
      <c r="B127" s="44" t="s">
        <v>134</v>
      </c>
      <c r="C127" s="13"/>
      <c r="D127" s="16">
        <f>IF(D121=0,0,360/D121)</f>
        <v>37.00534877552825</v>
      </c>
      <c r="E127" s="13"/>
      <c r="F127" s="16">
        <f>IF(F121=0,0,360/F121)</f>
        <v>45.80552364079671</v>
      </c>
      <c r="G127" s="13"/>
      <c r="H127" s="16">
        <f>IF(H121=0,0,360/H121)</f>
        <v>54.886165721780635</v>
      </c>
      <c r="I127" s="13"/>
      <c r="J127" s="12"/>
      <c r="M127" s="14" t="s">
        <v>134</v>
      </c>
    </row>
    <row r="128" spans="1:13" ht="15">
      <c r="A128" s="12"/>
      <c r="B128" s="45" t="s">
        <v>135</v>
      </c>
      <c r="D128" s="20">
        <f>IF(D122=0,0,360/D122)</f>
        <v>52.24115943888804</v>
      </c>
      <c r="F128" s="20">
        <f>IF(F122=0,0,360/F122)</f>
        <v>57.355870353006765</v>
      </c>
      <c r="H128" s="20">
        <f>IF(H122=0,0,360/H122)</f>
        <v>45.46651028149331</v>
      </c>
      <c r="J128" s="12"/>
      <c r="M128" s="1" t="s">
        <v>135</v>
      </c>
    </row>
    <row r="129" spans="1:13" ht="15">
      <c r="A129" s="12"/>
      <c r="B129" s="45" t="s">
        <v>136</v>
      </c>
      <c r="D129" s="20">
        <f>D127+D128</f>
        <v>89.24650821441628</v>
      </c>
      <c r="F129" s="20">
        <f>F127+F128</f>
        <v>103.16139399380347</v>
      </c>
      <c r="H129" s="20">
        <f>H127+H128</f>
        <v>100.35267600327396</v>
      </c>
      <c r="J129" s="12"/>
      <c r="M129" s="1" t="s">
        <v>136</v>
      </c>
    </row>
    <row r="130" spans="1:10" ht="15">
      <c r="A130" s="12"/>
      <c r="B130" s="46"/>
      <c r="D130" s="17"/>
      <c r="F130" s="17"/>
      <c r="H130" s="17"/>
      <c r="J130" s="12"/>
    </row>
    <row r="131" spans="1:13" ht="15">
      <c r="A131" s="12"/>
      <c r="B131" s="59" t="s">
        <v>137</v>
      </c>
      <c r="D131" s="17"/>
      <c r="F131" s="17"/>
      <c r="H131" s="17"/>
      <c r="J131" s="12"/>
      <c r="M131" s="1" t="s">
        <v>137</v>
      </c>
    </row>
    <row r="132" spans="1:10" ht="15.75" thickBot="1">
      <c r="A132" s="12"/>
      <c r="B132" s="46"/>
      <c r="D132" s="17"/>
      <c r="F132" s="17"/>
      <c r="H132" s="17"/>
      <c r="J132" s="12"/>
    </row>
    <row r="133" spans="1:13" ht="15.75" thickTop="1">
      <c r="A133" s="12"/>
      <c r="B133" s="44" t="s">
        <v>138</v>
      </c>
      <c r="C133" s="13"/>
      <c r="D133" s="24">
        <f>IF(C37=0,0,C101/C37)</f>
        <v>0.16179768440065348</v>
      </c>
      <c r="E133" s="33"/>
      <c r="F133" s="24">
        <f>IF(D37=0,0,D101/D37)</f>
        <v>0.08749639545958983</v>
      </c>
      <c r="G133" s="33"/>
      <c r="H133" s="24">
        <f>IF(F37=0,0,F101/F37)</f>
        <v>0.06858892249502055</v>
      </c>
      <c r="I133" s="33"/>
      <c r="J133" s="39"/>
      <c r="K133" s="5"/>
      <c r="M133" s="14" t="s">
        <v>139</v>
      </c>
    </row>
    <row r="134" spans="1:13" ht="15">
      <c r="A134" s="12"/>
      <c r="B134" s="45" t="s">
        <v>140</v>
      </c>
      <c r="D134" s="25">
        <f>IF(C66=0,0,C101/C66)</f>
        <v>0.22178793484762077</v>
      </c>
      <c r="E134" s="5"/>
      <c r="F134" s="25">
        <f>IF(D66=0,0,D101/D66)</f>
        <v>0.10694678828530536</v>
      </c>
      <c r="G134" s="5"/>
      <c r="H134" s="25">
        <f>IF(F66=0,0,F101/F66)</f>
        <v>0.08849232100367727</v>
      </c>
      <c r="I134" s="5"/>
      <c r="J134" s="39"/>
      <c r="K134" s="5"/>
      <c r="M134" s="1" t="s">
        <v>141</v>
      </c>
    </row>
    <row r="135" spans="1:19" ht="15">
      <c r="A135" s="12"/>
      <c r="B135" s="45" t="s">
        <v>142</v>
      </c>
      <c r="D135" s="25">
        <f>IF(C83=0,0,C101/C83)</f>
        <v>0.08810560516311555</v>
      </c>
      <c r="E135" s="5"/>
      <c r="F135" s="25">
        <f>IF(D83=0,0,D101/D83)</f>
        <v>0.08781869688385269</v>
      </c>
      <c r="G135" s="5"/>
      <c r="H135" s="25">
        <f>IF(F83=0,0,F101/F83)</f>
        <v>0.07330332633329271</v>
      </c>
      <c r="I135" s="5"/>
      <c r="J135" s="39"/>
      <c r="K135" s="5"/>
      <c r="M135" s="1" t="s">
        <v>143</v>
      </c>
      <c r="S135" s="3"/>
    </row>
    <row r="136" spans="1:13" ht="15">
      <c r="A136" s="12"/>
      <c r="B136" s="45" t="s">
        <v>144</v>
      </c>
      <c r="D136" s="25">
        <f>IF((C20+C28+C36)=0,0,C91/(C20+C28+C36))</f>
        <v>0.22214976052001367</v>
      </c>
      <c r="E136" s="5"/>
      <c r="F136" s="25">
        <f>IF((D20+D28+D36)=0,0,D91/(D20+D28+D36))</f>
        <v>0.1090252975844917</v>
      </c>
      <c r="G136" s="5"/>
      <c r="H136" s="25">
        <f>IF((F20+F28+F36)=0,0,F91/(F20+F28+F36))</f>
        <v>0.06352567303101755</v>
      </c>
      <c r="I136" s="5"/>
      <c r="J136" s="39"/>
      <c r="K136" s="5"/>
      <c r="M136" s="1" t="s">
        <v>145</v>
      </c>
    </row>
    <row r="137" spans="1:13" ht="15">
      <c r="A137" s="12"/>
      <c r="B137" s="45" t="s">
        <v>146</v>
      </c>
      <c r="D137" s="25">
        <f>IF(C83=0,0,C91/C83)</f>
        <v>0.11481632923702591</v>
      </c>
      <c r="E137" s="5"/>
      <c r="F137" s="25">
        <f>IF(D83=0,0,D91/D83)</f>
        <v>0.1029433690876082</v>
      </c>
      <c r="G137" s="5"/>
      <c r="H137" s="25">
        <f>IF(F83=0,0,F91/F83)</f>
        <v>0.062466403388688606</v>
      </c>
      <c r="I137" s="5"/>
      <c r="J137" s="39"/>
      <c r="K137" s="5"/>
      <c r="M137" s="1" t="s">
        <v>147</v>
      </c>
    </row>
    <row r="138" spans="1:25" ht="15">
      <c r="A138" s="12"/>
      <c r="B138" s="46"/>
      <c r="D138" s="25"/>
      <c r="E138" s="5"/>
      <c r="F138" s="25"/>
      <c r="G138" s="5"/>
      <c r="H138" s="25"/>
      <c r="I138" s="5"/>
      <c r="J138" s="39"/>
      <c r="K138" s="5"/>
      <c r="V138" s="3"/>
      <c r="W138" s="3"/>
      <c r="Y138" s="3"/>
    </row>
    <row r="139" spans="1:25" ht="15.75" thickBot="1">
      <c r="A139" s="12"/>
      <c r="B139" s="59" t="s">
        <v>148</v>
      </c>
      <c r="D139" s="25"/>
      <c r="E139" s="5"/>
      <c r="F139" s="25"/>
      <c r="G139" s="5"/>
      <c r="H139" s="25"/>
      <c r="I139" s="5"/>
      <c r="J139" s="39"/>
      <c r="K139" s="5"/>
      <c r="M139" s="1" t="s">
        <v>148</v>
      </c>
      <c r="V139" s="3"/>
      <c r="W139" s="3"/>
      <c r="Y139" s="3"/>
    </row>
    <row r="140" spans="1:13" ht="15.75" thickTop="1">
      <c r="A140" s="12"/>
      <c r="B140" s="47"/>
      <c r="C140" s="13"/>
      <c r="D140" s="21"/>
      <c r="E140" s="13"/>
      <c r="F140" s="21"/>
      <c r="G140" s="13"/>
      <c r="H140" s="21"/>
      <c r="I140" s="33"/>
      <c r="J140" s="12"/>
      <c r="M140" s="13"/>
    </row>
    <row r="141" spans="1:25" ht="15">
      <c r="A141" s="12"/>
      <c r="B141" s="45" t="s">
        <v>149</v>
      </c>
      <c r="D141" s="25">
        <f>IF(C37=0,0,C56/C37)</f>
        <v>0.27048473348283597</v>
      </c>
      <c r="E141" s="5"/>
      <c r="F141" s="25">
        <f>IF(D37=0,0,D56/D37)</f>
        <v>0.18186981710780417</v>
      </c>
      <c r="G141" s="5"/>
      <c r="H141" s="25">
        <f>IF(F37=0,0,F56/F37)</f>
        <v>0.22491667393185033</v>
      </c>
      <c r="I141" s="5"/>
      <c r="J141" s="39"/>
      <c r="K141" s="5"/>
      <c r="M141" s="1" t="s">
        <v>149</v>
      </c>
      <c r="V141" s="3"/>
      <c r="W141" s="3"/>
      <c r="Y141" s="3"/>
    </row>
    <row r="142" spans="1:10" ht="15">
      <c r="A142" s="12"/>
      <c r="B142" s="46"/>
      <c r="D142" s="17"/>
      <c r="F142" s="17"/>
      <c r="H142" s="17"/>
      <c r="I142" s="5"/>
      <c r="J142" s="12"/>
    </row>
    <row r="143" spans="1:10" ht="15.75" thickBot="1">
      <c r="A143" s="12"/>
      <c r="B143" s="59" t="s">
        <v>150</v>
      </c>
      <c r="D143" s="17"/>
      <c r="F143" s="17"/>
      <c r="H143" s="17"/>
      <c r="I143" s="5"/>
      <c r="J143" s="12"/>
    </row>
    <row r="144" spans="1:10" ht="15.75" thickTop="1">
      <c r="A144" s="12"/>
      <c r="B144" s="47"/>
      <c r="C144" s="13"/>
      <c r="D144" s="21"/>
      <c r="E144" s="13"/>
      <c r="F144" s="21"/>
      <c r="G144" s="13"/>
      <c r="H144" s="21"/>
      <c r="I144" s="33"/>
      <c r="J144" s="12"/>
    </row>
    <row r="145" spans="1:12" ht="15">
      <c r="A145" s="12"/>
      <c r="B145" s="45" t="s">
        <v>151</v>
      </c>
      <c r="D145" s="23">
        <f>IF(C37=0,0,C83/C37)</f>
        <v>1.836406254756517</v>
      </c>
      <c r="E145" s="4"/>
      <c r="F145" s="23">
        <f>IF(D37=0,0,D83/D37)</f>
        <v>0.9963299224914584</v>
      </c>
      <c r="G145" s="4"/>
      <c r="H145" s="23">
        <f>IF(F37=0,0,(F83*360)/(F37*C4))</f>
        <v>0.9228687373159769</v>
      </c>
      <c r="I145" s="4"/>
      <c r="J145" s="40"/>
      <c r="K145" s="4"/>
      <c r="L145" s="4"/>
    </row>
    <row r="146" spans="1:10" ht="15">
      <c r="A146" s="12"/>
      <c r="B146" s="45" t="s">
        <v>152</v>
      </c>
      <c r="D146" s="25"/>
      <c r="E146" s="5"/>
      <c r="F146" s="25">
        <f>IF(C83=0,0,(D83-C83)/C83)</f>
        <v>0.26004553089912474</v>
      </c>
      <c r="G146" s="5"/>
      <c r="H146" s="25">
        <f>IF(D83=0,0,((F83*360/C4)-D83)/D83)</f>
        <v>0.20691925054067536</v>
      </c>
      <c r="I146" s="5"/>
      <c r="J146" s="12"/>
    </row>
    <row r="147" spans="1:10" ht="15">
      <c r="A147" s="12"/>
      <c r="B147" s="45" t="s">
        <v>153</v>
      </c>
      <c r="D147" s="25">
        <f>IF(C83=0,0,(+C41)/C83)</f>
        <v>0.041988993015648485</v>
      </c>
      <c r="E147" s="5"/>
      <c r="F147" s="25">
        <f>IF(D83=0,0,(+D41)/D83)</f>
        <v>0.06777817732132364</v>
      </c>
      <c r="G147" s="5"/>
      <c r="H147" s="25">
        <f>IF(F83=0,0,(+F41)*C4/(F83*360))</f>
        <v>0.0919035053559469</v>
      </c>
      <c r="I147" s="5"/>
      <c r="J147" s="12"/>
    </row>
    <row r="148" spans="1:10" ht="15.75" thickBot="1">
      <c r="A148" s="12"/>
      <c r="B148" s="45" t="s">
        <v>154</v>
      </c>
      <c r="D148" s="25">
        <f>IF(C83=0,0,C48/C83)</f>
        <v>0.12147467067456458</v>
      </c>
      <c r="E148" s="5"/>
      <c r="F148" s="25">
        <f>IF(D83=0,0,D48/D83)</f>
        <v>0.1646085301572545</v>
      </c>
      <c r="G148" s="5"/>
      <c r="H148" s="25">
        <f>IF(F83=0,0,F48*C4/(F83*360))</f>
        <v>0.19199671977618982</v>
      </c>
      <c r="I148" s="5"/>
      <c r="J148" s="12"/>
    </row>
    <row r="149" spans="1:9" ht="15.75" thickTop="1">
      <c r="A149" s="13"/>
      <c r="B149" s="47"/>
      <c r="C149" s="13"/>
      <c r="D149" s="13"/>
      <c r="E149" s="13"/>
      <c r="F149" s="13"/>
      <c r="G149" s="13"/>
      <c r="H149" s="13"/>
      <c r="I149" s="13"/>
    </row>
    <row r="150" spans="1:2" ht="15">
      <c r="A150" s="1" t="s">
        <v>109</v>
      </c>
      <c r="B150" s="46"/>
    </row>
    <row r="151" ht="15.75" thickBot="1">
      <c r="B151" s="46"/>
    </row>
    <row r="152" spans="1:36" ht="17.25" thickTop="1">
      <c r="A152" s="11"/>
      <c r="B152" s="57">
        <f>C2</f>
        <v>0</v>
      </c>
      <c r="C152" s="60" t="s">
        <v>155</v>
      </c>
      <c r="D152" s="61"/>
      <c r="E152" s="61"/>
      <c r="F152" s="61"/>
      <c r="G152" s="62" t="str">
        <f>H8</f>
        <v>MILES $</v>
      </c>
      <c r="H152" s="12"/>
      <c r="AG152" s="10" t="s">
        <v>156</v>
      </c>
      <c r="AJ152" s="10" t="s">
        <v>156</v>
      </c>
    </row>
    <row r="153" spans="1:36" ht="15.75" thickBot="1">
      <c r="A153" s="12"/>
      <c r="B153" s="49">
        <f>C3</f>
        <v>0</v>
      </c>
      <c r="D153" s="2" t="str">
        <f>G11</f>
        <v>95-94</v>
      </c>
      <c r="H153" s="12"/>
      <c r="AG153" s="10" t="s">
        <v>156</v>
      </c>
      <c r="AJ153" s="10" t="s">
        <v>156</v>
      </c>
    </row>
    <row r="154" spans="1:36" ht="16.5" thickBot="1" thickTop="1">
      <c r="A154" s="12"/>
      <c r="B154" s="44" t="s">
        <v>157</v>
      </c>
      <c r="C154" s="13"/>
      <c r="D154" s="13"/>
      <c r="E154" s="14" t="s">
        <v>158</v>
      </c>
      <c r="F154" s="13"/>
      <c r="G154" s="13"/>
      <c r="H154" s="12"/>
      <c r="V154" s="3"/>
      <c r="W154" s="3"/>
      <c r="Y154" s="3"/>
      <c r="AJ154" s="10" t="s">
        <v>156</v>
      </c>
    </row>
    <row r="155" spans="1:36" ht="15.75" thickTop="1">
      <c r="A155" s="11"/>
      <c r="B155" s="44" t="s">
        <v>159</v>
      </c>
      <c r="C155" s="15">
        <f>IF(G12&lt;0,-G12,0)</f>
        <v>0</v>
      </c>
      <c r="D155" s="26" t="s">
        <v>160</v>
      </c>
      <c r="E155" s="13"/>
      <c r="F155" s="13"/>
      <c r="G155" s="15">
        <f>IF(G12&gt;0,G12,0)</f>
        <v>9824</v>
      </c>
      <c r="H155" s="12"/>
      <c r="V155" s="3"/>
      <c r="W155" s="3"/>
      <c r="Y155" s="3"/>
      <c r="AE155" s="1" t="s">
        <v>161</v>
      </c>
      <c r="AF155" s="2" t="e">
        <f>IF((#VALUE!+#VALUE!+#VALUE!+#VALUE!+#VALUE!)&lt;0,ABS(#VALUE!+#VALUE!+#VALUE!+#VALUE!+#VALUE!),0)</f>
        <v>#VALUE!</v>
      </c>
      <c r="AG155" s="10" t="s">
        <v>156</v>
      </c>
      <c r="AH155" s="1" t="s">
        <v>162</v>
      </c>
      <c r="AI155" s="2" t="e">
        <f>IF((#VALUE!+#VALUE!+#VALUE!+#VALUE!+#VALUE!)&gt;0,(#VALUE!+#VALUE!+#VALUE!+#VALUE!+#VALUE!),0)+IF(#VALUE!&lt;0,ABS(#VALUE!),0)</f>
        <v>#VALUE!</v>
      </c>
      <c r="AJ155" s="10" t="s">
        <v>156</v>
      </c>
    </row>
    <row r="156" spans="1:8" ht="15">
      <c r="A156" s="12"/>
      <c r="B156" s="45" t="s">
        <v>163</v>
      </c>
      <c r="C156" s="2">
        <f>IF(G13&lt;0,-G13,0)</f>
        <v>1148</v>
      </c>
      <c r="D156" s="27" t="s">
        <v>164</v>
      </c>
      <c r="G156" s="2">
        <f>IF(G13&gt;0,G13,0)</f>
        <v>0</v>
      </c>
      <c r="H156" s="12"/>
    </row>
    <row r="157" spans="1:36" ht="15">
      <c r="A157" s="12"/>
      <c r="B157" s="45" t="s">
        <v>165</v>
      </c>
      <c r="C157" s="2">
        <f>IF(G14&lt;0,-G14,0)</f>
        <v>0</v>
      </c>
      <c r="D157" s="27" t="s">
        <v>166</v>
      </c>
      <c r="G157" s="2">
        <f>IF(G14&gt;0,G14,0)</f>
        <v>12946</v>
      </c>
      <c r="H157" s="12"/>
      <c r="V157" s="3"/>
      <c r="W157" s="3"/>
      <c r="Y157" s="3"/>
      <c r="AE157" s="1" t="s">
        <v>167</v>
      </c>
      <c r="AF157" s="2" t="e">
        <f>IF(#VALUE!&lt;0,ABS(#VALUE!),0)</f>
        <v>#VALUE!</v>
      </c>
      <c r="AG157" s="10" t="s">
        <v>156</v>
      </c>
      <c r="AH157" s="1" t="s">
        <v>168</v>
      </c>
      <c r="AI157" s="2" t="e">
        <f>IF(#VALUE!&gt;0,#VALUE!,0)</f>
        <v>#VALUE!</v>
      </c>
      <c r="AJ157" s="10" t="s">
        <v>156</v>
      </c>
    </row>
    <row r="158" spans="1:36" ht="15">
      <c r="A158" s="12"/>
      <c r="B158" s="45" t="s">
        <v>169</v>
      </c>
      <c r="C158" s="2">
        <f>IF(G15&lt;0,-G15,0)</f>
        <v>190</v>
      </c>
      <c r="D158" s="27" t="s">
        <v>170</v>
      </c>
      <c r="G158" s="2">
        <f>IF(G15&gt;0,G15,0)</f>
        <v>0</v>
      </c>
      <c r="H158" s="12"/>
      <c r="AE158" s="1" t="s">
        <v>171</v>
      </c>
      <c r="AF158" s="2">
        <f>IF(Z155&lt;0,-Z155,0)</f>
        <v>0</v>
      </c>
      <c r="AG158" s="10" t="s">
        <v>156</v>
      </c>
      <c r="AH158" s="1" t="s">
        <v>172</v>
      </c>
      <c r="AI158" s="2">
        <f>IF(Z155&gt;0,Z155,0)</f>
        <v>0</v>
      </c>
      <c r="AJ158" s="10" t="s">
        <v>156</v>
      </c>
    </row>
    <row r="159" spans="1:36" ht="15">
      <c r="A159" s="12"/>
      <c r="B159" s="45" t="s">
        <v>173</v>
      </c>
      <c r="C159" s="2">
        <f>IF((G19+G16+G17+G18)&lt;0,ABS(G19+G16+G17+G18),0)</f>
        <v>442</v>
      </c>
      <c r="D159" s="27" t="s">
        <v>174</v>
      </c>
      <c r="G159" s="2">
        <f>IF((G19+G16+G17+G18)&gt;0,(G19+G16+G17+G18),0)</f>
        <v>0</v>
      </c>
      <c r="H159" s="12"/>
      <c r="AE159" s="1" t="s">
        <v>175</v>
      </c>
      <c r="AF159" s="2">
        <f>IF(Z172&gt;0,Z172,0)</f>
        <v>0</v>
      </c>
      <c r="AG159" s="10" t="s">
        <v>156</v>
      </c>
      <c r="AH159" s="1" t="s">
        <v>176</v>
      </c>
      <c r="AI159" s="2" t="e">
        <f>IF((Z157+#VALUE!)&gt;0,(Z157+#VALUE!),0)</f>
        <v>#VALUE!</v>
      </c>
      <c r="AJ159" s="10" t="s">
        <v>156</v>
      </c>
    </row>
    <row r="160" spans="1:36" ht="15">
      <c r="A160" s="12"/>
      <c r="B160" s="45" t="s">
        <v>177</v>
      </c>
      <c r="C160" s="2">
        <f>IF(G41&gt;0,G41,0)</f>
        <v>9838</v>
      </c>
      <c r="D160" s="27" t="s">
        <v>178</v>
      </c>
      <c r="G160" s="2">
        <f>IF(G41&lt;0,-G41,0)</f>
        <v>0</v>
      </c>
      <c r="H160" s="12"/>
      <c r="V160" s="3"/>
      <c r="W160" s="3"/>
      <c r="Y160" s="3"/>
      <c r="AE160" s="1" t="s">
        <v>179</v>
      </c>
      <c r="AF160" s="2">
        <f>IF(Z178+Z182&gt;0,Z178+Z182,0)</f>
        <v>0</v>
      </c>
      <c r="AG160" s="10" t="s">
        <v>156</v>
      </c>
      <c r="AH160" s="1" t="s">
        <v>180</v>
      </c>
      <c r="AI160" s="2" t="e">
        <f>IF((Z174+#VALUE!)&lt;0,ABS(Z174+#VALUE!),0)</f>
        <v>#VALUE!</v>
      </c>
      <c r="AJ160" s="10" t="s">
        <v>156</v>
      </c>
    </row>
    <row r="161" spans="1:36" ht="15">
      <c r="A161" s="12"/>
      <c r="B161" s="45" t="s">
        <v>181</v>
      </c>
      <c r="C161" s="2">
        <f aca="true" t="shared" si="15" ref="C161:C166">IF((G42)&gt;0,(G42),0)</f>
        <v>5496</v>
      </c>
      <c r="D161" s="27" t="s">
        <v>182</v>
      </c>
      <c r="G161" s="2">
        <f aca="true" t="shared" si="16" ref="G161:G166">IF((G42)&lt;0,-(G42),0)</f>
        <v>0</v>
      </c>
      <c r="H161" s="12"/>
      <c r="V161" s="3"/>
      <c r="W161" s="3"/>
      <c r="Y161" s="3"/>
      <c r="AE161" s="1" t="s">
        <v>183</v>
      </c>
      <c r="AF161" s="2" t="e">
        <f>IF(((Z180+Z181+Z184)-#VALUE!)&gt;0,((Z180+Z181+Z184)-#VALUE!),0)</f>
        <v>#VALUE!</v>
      </c>
      <c r="AG161" s="10" t="s">
        <v>156</v>
      </c>
      <c r="AH161" s="1" t="s">
        <v>184</v>
      </c>
      <c r="AI161" s="2">
        <f>IF(Z178+Z182&lt;0,-Z178+Z182,0)</f>
        <v>0</v>
      </c>
      <c r="AJ161" s="10" t="s">
        <v>156</v>
      </c>
    </row>
    <row r="162" spans="1:8" ht="15">
      <c r="A162" s="12"/>
      <c r="B162" s="45" t="s">
        <v>185</v>
      </c>
      <c r="C162" s="2">
        <f t="shared" si="15"/>
        <v>0</v>
      </c>
      <c r="D162" s="27" t="s">
        <v>186</v>
      </c>
      <c r="G162" s="2">
        <f t="shared" si="16"/>
        <v>0</v>
      </c>
      <c r="H162" s="12"/>
    </row>
    <row r="163" spans="1:36" ht="15">
      <c r="A163" s="12"/>
      <c r="B163" s="45" t="s">
        <v>187</v>
      </c>
      <c r="C163" s="2">
        <f t="shared" si="15"/>
        <v>0</v>
      </c>
      <c r="D163" s="27" t="s">
        <v>188</v>
      </c>
      <c r="G163" s="2">
        <f t="shared" si="16"/>
        <v>0</v>
      </c>
      <c r="H163" s="12"/>
      <c r="V163" s="3"/>
      <c r="W163" s="3"/>
      <c r="Y163" s="3"/>
      <c r="AG163" s="10" t="s">
        <v>156</v>
      </c>
      <c r="AJ163" s="10" t="s">
        <v>156</v>
      </c>
    </row>
    <row r="164" spans="1:8" ht="15">
      <c r="A164" s="12"/>
      <c r="B164" s="45" t="s">
        <v>189</v>
      </c>
      <c r="C164" s="2">
        <f t="shared" si="15"/>
        <v>457</v>
      </c>
      <c r="D164" s="27" t="s">
        <v>190</v>
      </c>
      <c r="G164" s="2">
        <f t="shared" si="16"/>
        <v>0</v>
      </c>
      <c r="H164" s="12"/>
    </row>
    <row r="165" spans="1:8" ht="15">
      <c r="A165" s="12"/>
      <c r="B165" s="45" t="s">
        <v>191</v>
      </c>
      <c r="C165" s="2">
        <f t="shared" si="15"/>
        <v>0</v>
      </c>
      <c r="D165" s="27" t="s">
        <v>192</v>
      </c>
      <c r="G165" s="2">
        <f t="shared" si="16"/>
        <v>486</v>
      </c>
      <c r="H165" s="12"/>
    </row>
    <row r="166" spans="1:36" ht="15">
      <c r="A166" s="12"/>
      <c r="B166" s="45" t="s">
        <v>193</v>
      </c>
      <c r="C166" s="2">
        <f t="shared" si="15"/>
        <v>0</v>
      </c>
      <c r="D166" s="27" t="s">
        <v>194</v>
      </c>
      <c r="G166" s="2">
        <f t="shared" si="16"/>
        <v>0</v>
      </c>
      <c r="H166" s="12"/>
      <c r="V166" s="3"/>
      <c r="W166" s="3"/>
      <c r="Y166" s="3"/>
      <c r="AG166" s="10" t="s">
        <v>156</v>
      </c>
      <c r="AJ166" s="10" t="s">
        <v>156</v>
      </c>
    </row>
    <row r="167" spans="1:36" ht="15">
      <c r="A167" s="12"/>
      <c r="B167" s="46"/>
      <c r="D167" s="27" t="s">
        <v>195</v>
      </c>
      <c r="G167" s="2">
        <f>IF((F15+F16+F17+F28+F84)=0,0,(G64+F96)*(F15+F16+F17)/(F15+F16+F17+F28+F84))</f>
        <v>1188.0471572643467</v>
      </c>
      <c r="H167" s="12"/>
      <c r="V167" s="3"/>
      <c r="W167" s="3"/>
      <c r="Y167" s="3"/>
      <c r="AE167" s="1" t="s">
        <v>196</v>
      </c>
      <c r="AF167" s="2" t="e">
        <f>SUM(AF155:AF161)</f>
        <v>#VALUE!</v>
      </c>
      <c r="AG167" s="10" t="s">
        <v>156</v>
      </c>
      <c r="AH167" s="1" t="s">
        <v>197</v>
      </c>
      <c r="AI167" s="2" t="e">
        <f>SUM(AI155:AI161)</f>
        <v>#VALUE!</v>
      </c>
      <c r="AJ167" s="10" t="s">
        <v>156</v>
      </c>
    </row>
    <row r="168" spans="1:36" ht="15">
      <c r="A168" s="12"/>
      <c r="B168" s="46"/>
      <c r="D168" s="28"/>
      <c r="H168" s="12"/>
      <c r="V168" s="3"/>
      <c r="W168" s="3"/>
      <c r="Y168" s="3"/>
      <c r="AE168" s="9" t="s">
        <v>198</v>
      </c>
      <c r="AF168" s="9" t="s">
        <v>198</v>
      </c>
      <c r="AG168" s="9" t="s">
        <v>198</v>
      </c>
      <c r="AH168" s="9" t="s">
        <v>198</v>
      </c>
      <c r="AI168" s="9" t="s">
        <v>198</v>
      </c>
      <c r="AJ168" s="1" t="s">
        <v>199</v>
      </c>
    </row>
    <row r="169" spans="1:36" ht="15.75" thickBot="1">
      <c r="A169" s="12"/>
      <c r="B169" s="45" t="s">
        <v>200</v>
      </c>
      <c r="C169" s="2">
        <f>SUM(C155:C167)</f>
        <v>17571</v>
      </c>
      <c r="D169" s="27" t="s">
        <v>201</v>
      </c>
      <c r="G169" s="2">
        <f>SUM(G155:G166)-G167</f>
        <v>22067.952842735653</v>
      </c>
      <c r="H169" s="12"/>
      <c r="AJ169" s="10" t="s">
        <v>156</v>
      </c>
    </row>
    <row r="170" spans="1:36" ht="16.5" thickBot="1" thickTop="1">
      <c r="A170" s="13"/>
      <c r="B170" s="47"/>
      <c r="C170" s="13"/>
      <c r="D170" s="13"/>
      <c r="E170" s="13"/>
      <c r="F170" s="13"/>
      <c r="G170" s="13"/>
      <c r="AE170" s="9" t="s">
        <v>198</v>
      </c>
      <c r="AF170" s="9" t="s">
        <v>198</v>
      </c>
      <c r="AG170" s="1" t="s">
        <v>202</v>
      </c>
      <c r="AH170" s="9" t="s">
        <v>198</v>
      </c>
      <c r="AI170" s="9" t="s">
        <v>198</v>
      </c>
      <c r="AJ170" s="1" t="s">
        <v>199</v>
      </c>
    </row>
    <row r="171" spans="1:36" ht="15.75" thickTop="1">
      <c r="A171" s="11"/>
      <c r="B171" s="47"/>
      <c r="C171" s="13"/>
      <c r="D171" s="13"/>
      <c r="E171" s="13"/>
      <c r="F171" s="13"/>
      <c r="G171" s="13"/>
      <c r="H171" s="12"/>
      <c r="V171" s="3"/>
      <c r="W171" s="3"/>
      <c r="Y171" s="3"/>
      <c r="AE171" s="1" t="s">
        <v>203</v>
      </c>
      <c r="AF171" s="2" t="e">
        <f>IF(#VALUE!&gt;0,#VALUE!,0)</f>
        <v>#VALUE!</v>
      </c>
      <c r="AG171" s="10" t="s">
        <v>156</v>
      </c>
      <c r="AJ171" s="10" t="s">
        <v>156</v>
      </c>
    </row>
    <row r="172" spans="1:36" ht="15">
      <c r="A172" s="12"/>
      <c r="B172" s="45" t="s">
        <v>161</v>
      </c>
      <c r="C172" s="2">
        <f>IF((G22+G23+G24+G25+G26)&lt;0,ABS(G22+G23+G24+G25+G26),0)</f>
        <v>0</v>
      </c>
      <c r="D172" s="27" t="s">
        <v>204</v>
      </c>
      <c r="G172" s="2">
        <f>IF((G22+G23+G24+G25+G26)&lt;0,0,ABS(G22+G23+G24+G25+G26))</f>
        <v>19055</v>
      </c>
      <c r="H172" s="12"/>
      <c r="AG172" s="10" t="s">
        <v>156</v>
      </c>
      <c r="AJ172" s="10" t="s">
        <v>156</v>
      </c>
    </row>
    <row r="173" spans="1:36" ht="15">
      <c r="A173" s="12"/>
      <c r="B173" s="45" t="s">
        <v>167</v>
      </c>
      <c r="C173" s="2">
        <f>IF(G31&lt;0,ABS(G31),0)</f>
        <v>0</v>
      </c>
      <c r="D173" s="27" t="s">
        <v>205</v>
      </c>
      <c r="G173" s="2">
        <f>IF(G31&gt;0,G31,0)</f>
        <v>12754</v>
      </c>
      <c r="H173" s="12"/>
      <c r="AG173" s="10" t="s">
        <v>156</v>
      </c>
      <c r="AJ173" s="10" t="s">
        <v>156</v>
      </c>
    </row>
    <row r="174" spans="1:36" ht="15">
      <c r="A174" s="12"/>
      <c r="B174" s="45" t="s">
        <v>206</v>
      </c>
      <c r="C174" s="2">
        <f>IF((G35+G34+G33)&lt;0,ABS(G35+G34+G33),0)</f>
        <v>3668</v>
      </c>
      <c r="D174" s="27" t="s">
        <v>207</v>
      </c>
      <c r="G174" s="2">
        <f>IF((G35+G34+G33)&gt;0,(G35+G34+G33),0)</f>
        <v>0</v>
      </c>
      <c r="H174" s="12"/>
      <c r="V174" s="3"/>
      <c r="W174" s="3"/>
      <c r="Y174" s="3"/>
      <c r="AE174" s="9" t="s">
        <v>198</v>
      </c>
      <c r="AF174" s="9" t="s">
        <v>198</v>
      </c>
      <c r="AG174" s="9" t="s">
        <v>198</v>
      </c>
      <c r="AH174" s="9" t="s">
        <v>198</v>
      </c>
      <c r="AI174" s="9" t="s">
        <v>198</v>
      </c>
      <c r="AJ174" s="1" t="s">
        <v>199</v>
      </c>
    </row>
    <row r="175" spans="1:36" ht="15">
      <c r="A175" s="12"/>
      <c r="B175" s="46"/>
      <c r="D175" s="27" t="s">
        <v>208</v>
      </c>
      <c r="G175" s="2">
        <f>IF((F15+F16+F17+F28+F84)=0,0,(G64+F96)*F28/(F15+F16+F17+F28+F84))</f>
        <v>1801.4446918628068</v>
      </c>
      <c r="H175" s="12"/>
      <c r="AJ175" s="10" t="s">
        <v>156</v>
      </c>
    </row>
    <row r="176" spans="1:8" ht="15">
      <c r="A176" s="12"/>
      <c r="B176" s="46"/>
      <c r="D176" s="27" t="s">
        <v>209</v>
      </c>
      <c r="G176" s="2">
        <f>IF(G32&gt;0,G32,0)</f>
        <v>1186</v>
      </c>
      <c r="H176" s="12"/>
    </row>
    <row r="177" spans="1:36" ht="15">
      <c r="A177" s="12"/>
      <c r="B177" s="45" t="s">
        <v>210</v>
      </c>
      <c r="C177" s="2">
        <f>IF((G50)&gt;0,(G50),0)</f>
        <v>9206</v>
      </c>
      <c r="D177" s="27" t="s">
        <v>211</v>
      </c>
      <c r="G177" s="2">
        <f>IF((G50)&lt;0,ABS(G50),0)</f>
        <v>0</v>
      </c>
      <c r="H177" s="12"/>
      <c r="AE177" s="9" t="s">
        <v>198</v>
      </c>
      <c r="AF177" s="9" t="s">
        <v>198</v>
      </c>
      <c r="AG177" s="1" t="s">
        <v>202</v>
      </c>
      <c r="AH177" s="9" t="s">
        <v>198</v>
      </c>
      <c r="AI177" s="9" t="s">
        <v>198</v>
      </c>
      <c r="AJ177" s="1" t="s">
        <v>199</v>
      </c>
    </row>
    <row r="178" spans="1:36" ht="15">
      <c r="A178" s="12"/>
      <c r="B178" s="45" t="s">
        <v>212</v>
      </c>
      <c r="C178" s="2">
        <f>IF((G51)&gt;0,(G51),0)</f>
        <v>0</v>
      </c>
      <c r="D178" s="27" t="s">
        <v>213</v>
      </c>
      <c r="G178" s="2">
        <f>IF((G51)&lt;0,ABS(G51),0)</f>
        <v>0</v>
      </c>
      <c r="H178" s="12"/>
      <c r="V178" s="3"/>
      <c r="W178" s="3"/>
      <c r="Y178" s="3"/>
      <c r="AE178" s="1" t="s">
        <v>214</v>
      </c>
      <c r="AF178" s="2" t="e">
        <f>#VALUE!+AF167+#VALUE!</f>
        <v>#VALUE!</v>
      </c>
      <c r="AG178" s="10" t="s">
        <v>156</v>
      </c>
      <c r="AI178" s="2" t="e">
        <f>#VALUE!+AI167+#VALUE!</f>
        <v>#VALUE!</v>
      </c>
      <c r="AJ178" s="10" t="s">
        <v>156</v>
      </c>
    </row>
    <row r="179" spans="1:8" ht="15">
      <c r="A179" s="12"/>
      <c r="B179" s="45" t="s">
        <v>215</v>
      </c>
      <c r="C179" s="2">
        <f>IF((G52)&gt;0,(G52),0)</f>
        <v>934</v>
      </c>
      <c r="D179" s="27" t="s">
        <v>216</v>
      </c>
      <c r="G179" s="2">
        <f>IF((G52)&lt;0,ABS(G52),0)</f>
        <v>0</v>
      </c>
      <c r="H179" s="12"/>
    </row>
    <row r="180" spans="1:36" ht="15">
      <c r="A180" s="12"/>
      <c r="B180" s="45" t="s">
        <v>217</v>
      </c>
      <c r="C180" s="2">
        <f>IF((G53)&gt;0,(G53),0)</f>
        <v>5</v>
      </c>
      <c r="D180" s="27" t="s">
        <v>218</v>
      </c>
      <c r="G180" s="2">
        <f>IF((G53)&lt;0,ABS(G53),0)</f>
        <v>0</v>
      </c>
      <c r="H180" s="12"/>
      <c r="V180" s="3"/>
      <c r="W180" s="3"/>
      <c r="Y180" s="3"/>
      <c r="AF180" s="2" t="e">
        <f>AF178-AI178</f>
        <v>#VALUE!</v>
      </c>
      <c r="AG180" s="10" t="s">
        <v>156</v>
      </c>
      <c r="AJ180" s="10" t="s">
        <v>156</v>
      </c>
    </row>
    <row r="181" spans="1:36" ht="15">
      <c r="A181" s="12"/>
      <c r="B181" s="45" t="s">
        <v>179</v>
      </c>
      <c r="C181" s="2">
        <f>IF(G59+G60&gt;0,G59+G60,0)</f>
        <v>1732</v>
      </c>
      <c r="D181" s="27" t="s">
        <v>219</v>
      </c>
      <c r="G181" s="2">
        <f>IF((G59+G60)&lt;0,-(G59+G60),0)</f>
        <v>0</v>
      </c>
      <c r="H181" s="12"/>
      <c r="V181" s="3"/>
      <c r="W181" s="3"/>
      <c r="Y181" s="3"/>
      <c r="AE181" s="9" t="s">
        <v>198</v>
      </c>
      <c r="AF181" s="9" t="s">
        <v>198</v>
      </c>
      <c r="AG181" s="9" t="s">
        <v>198</v>
      </c>
      <c r="AH181" s="9" t="s">
        <v>198</v>
      </c>
      <c r="AI181" s="9" t="s">
        <v>198</v>
      </c>
      <c r="AJ181" s="1" t="s">
        <v>220</v>
      </c>
    </row>
    <row r="182" spans="1:25" ht="15">
      <c r="A182" s="12"/>
      <c r="B182" s="46"/>
      <c r="D182" s="28"/>
      <c r="H182" s="12"/>
      <c r="V182" s="3"/>
      <c r="W182" s="3"/>
      <c r="Y182" s="3"/>
    </row>
    <row r="183" spans="1:8" ht="15.75" thickBot="1">
      <c r="A183" s="12"/>
      <c r="B183" s="45" t="s">
        <v>196</v>
      </c>
      <c r="C183" s="2">
        <f>SUM(C172:C182)</f>
        <v>15545</v>
      </c>
      <c r="D183" s="27" t="s">
        <v>221</v>
      </c>
      <c r="G183" s="2">
        <f>SUM(G172:G182)-2*G175</f>
        <v>31193.555308137195</v>
      </c>
      <c r="H183" s="12"/>
    </row>
    <row r="184" spans="1:25" ht="16.5" thickBot="1" thickTop="1">
      <c r="A184" s="13"/>
      <c r="B184" s="47"/>
      <c r="C184" s="13"/>
      <c r="D184" s="13"/>
      <c r="E184" s="13"/>
      <c r="F184" s="13"/>
      <c r="G184" s="13"/>
      <c r="V184" s="3"/>
      <c r="W184" s="3"/>
      <c r="Y184" s="3"/>
    </row>
    <row r="185" spans="1:8" ht="15.75" thickTop="1">
      <c r="A185" s="11"/>
      <c r="B185" s="47"/>
      <c r="C185" s="13"/>
      <c r="D185" s="13"/>
      <c r="E185" s="13"/>
      <c r="F185" s="13"/>
      <c r="G185" s="13"/>
      <c r="H185" s="12"/>
    </row>
    <row r="186" spans="1:8" ht="15">
      <c r="A186" s="12"/>
      <c r="B186" s="45" t="s">
        <v>222</v>
      </c>
      <c r="C186" s="2">
        <f>IF(F63&gt;0,F63,0)</f>
        <v>20455</v>
      </c>
      <c r="D186" s="27" t="s">
        <v>223</v>
      </c>
      <c r="G186" s="2">
        <f>IF(F63&lt;0,-F63,0)</f>
        <v>0</v>
      </c>
      <c r="H186" s="12"/>
    </row>
    <row r="187" spans="1:8" ht="15">
      <c r="A187" s="12"/>
      <c r="B187" s="45" t="s">
        <v>224</v>
      </c>
      <c r="C187" s="2">
        <f>IF(G32&lt;0,ABS(G32),0)</f>
        <v>0</v>
      </c>
      <c r="D187" s="27" t="s">
        <v>225</v>
      </c>
      <c r="G187" s="2">
        <f>IF(((G61+G62)-D63)&lt;0,-((G61+G62)-D63),0)</f>
        <v>13412</v>
      </c>
      <c r="H187" s="12"/>
    </row>
    <row r="188" spans="1:8" ht="15">
      <c r="A188" s="12"/>
      <c r="B188" s="45" t="s">
        <v>203</v>
      </c>
      <c r="C188" s="2">
        <f>G27</f>
        <v>5795</v>
      </c>
      <c r="D188" s="28"/>
      <c r="H188" s="12"/>
    </row>
    <row r="189" spans="1:8" ht="15">
      <c r="A189" s="12"/>
      <c r="B189" s="45" t="s">
        <v>226</v>
      </c>
      <c r="C189" s="2">
        <f>IF((F15+F16+F17+F28+F84)=0,0,(+F96-((G64+F96)*(F84)/(F15+F16+F17+F28+F84))))</f>
        <v>-7307.508150872847</v>
      </c>
      <c r="D189" s="28"/>
      <c r="H189" s="12"/>
    </row>
    <row r="190" spans="1:8" ht="15">
      <c r="A190" s="12"/>
      <c r="B190" s="46"/>
      <c r="D190" s="28"/>
      <c r="H190" s="12"/>
    </row>
    <row r="191" spans="1:8" ht="15.75" thickBot="1">
      <c r="A191" s="12"/>
      <c r="B191" s="45" t="s">
        <v>227</v>
      </c>
      <c r="C191" s="2">
        <f>SUM(C186:C188)-C189</f>
        <v>33557.50815087285</v>
      </c>
      <c r="D191" s="27" t="s">
        <v>228</v>
      </c>
      <c r="G191" s="2">
        <f>SUM(G186:G188)</f>
        <v>13412</v>
      </c>
      <c r="H191" s="12"/>
    </row>
    <row r="192" spans="1:7" ht="16.5" thickBot="1" thickTop="1">
      <c r="A192" s="13"/>
      <c r="B192" s="47"/>
      <c r="C192" s="13"/>
      <c r="D192" s="13"/>
      <c r="E192" s="13"/>
      <c r="F192" s="13"/>
      <c r="G192" s="13"/>
    </row>
    <row r="193" spans="1:8" ht="15.75" thickTop="1">
      <c r="A193" s="11"/>
      <c r="B193" s="44" t="s">
        <v>214</v>
      </c>
      <c r="C193" s="15">
        <f>C169+C183+C191</f>
        <v>66673.50815087285</v>
      </c>
      <c r="D193" s="29"/>
      <c r="E193" s="13"/>
      <c r="F193" s="13"/>
      <c r="G193" s="15">
        <f>G169+G183+G191</f>
        <v>66673.50815087285</v>
      </c>
      <c r="H193" s="12"/>
    </row>
    <row r="194" spans="1:8" ht="15.75" thickBot="1">
      <c r="A194" s="12"/>
      <c r="B194" s="46"/>
      <c r="C194" s="2">
        <f>C193-G193</f>
        <v>0</v>
      </c>
      <c r="D194" s="28"/>
      <c r="H194" s="12"/>
    </row>
    <row r="195" spans="1:7" ht="15.75" thickTop="1">
      <c r="A195" s="13"/>
      <c r="B195" s="47"/>
      <c r="C195" s="13"/>
      <c r="D195" s="13"/>
      <c r="E195" s="13"/>
      <c r="F195" s="13"/>
      <c r="G195" s="13"/>
    </row>
    <row r="196" spans="1:2" ht="15.75" thickBot="1">
      <c r="A196" s="1" t="s">
        <v>109</v>
      </c>
      <c r="B196" s="46"/>
    </row>
    <row r="197" spans="1:26" ht="15.75" thickTop="1">
      <c r="A197" s="11"/>
      <c r="B197" s="48">
        <f>C2</f>
        <v>0</v>
      </c>
      <c r="C197" s="63" t="s">
        <v>229</v>
      </c>
      <c r="D197" s="64"/>
      <c r="E197" s="64"/>
      <c r="F197" s="64"/>
      <c r="G197" s="65" t="str">
        <f>H8</f>
        <v>MILES $</v>
      </c>
      <c r="H197" s="12"/>
      <c r="V197" s="3"/>
      <c r="W197" s="3"/>
      <c r="X197" s="7"/>
      <c r="Y197" s="3"/>
      <c r="Z197" s="4"/>
    </row>
    <row r="198" spans="1:26" ht="15.75" thickBot="1">
      <c r="A198" s="12"/>
      <c r="B198" s="49">
        <f>C3</f>
        <v>0</v>
      </c>
      <c r="D198" s="2" t="str">
        <f>G11</f>
        <v>95-94</v>
      </c>
      <c r="H198" s="12"/>
      <c r="X198" s="7"/>
      <c r="Z198" s="4"/>
    </row>
    <row r="199" spans="1:26" ht="16.5" thickBot="1" thickTop="1">
      <c r="A199" s="11"/>
      <c r="B199" s="44" t="s">
        <v>230</v>
      </c>
      <c r="C199" s="13"/>
      <c r="D199" s="29"/>
      <c r="E199" s="14" t="s">
        <v>231</v>
      </c>
      <c r="F199" s="13"/>
      <c r="G199" s="13"/>
      <c r="H199" s="12"/>
      <c r="V199" s="3"/>
      <c r="W199" s="3"/>
      <c r="X199" s="7"/>
      <c r="Y199" s="3"/>
      <c r="Z199" s="4"/>
    </row>
    <row r="200" spans="1:26" ht="15.75" thickTop="1">
      <c r="A200" s="11"/>
      <c r="B200" s="44" t="s">
        <v>232</v>
      </c>
      <c r="C200" s="15">
        <f>F83-G14</f>
        <v>266100</v>
      </c>
      <c r="D200" s="26" t="s">
        <v>233</v>
      </c>
      <c r="E200" s="13"/>
      <c r="F200" s="13"/>
      <c r="G200" s="15">
        <f>F84+F15+F16+F17-D15-D16-D17-G42-G167-IF((F15+F16+F17+F28+F84)=0,0,(G64+F96)*F84/(F15+F16+F17+F28+F84))</f>
        <v>183948.4446918628</v>
      </c>
      <c r="H200" s="12"/>
      <c r="Z200" s="4"/>
    </row>
    <row r="201" spans="1:8" ht="15">
      <c r="A201" s="12"/>
      <c r="B201" s="45" t="s">
        <v>234</v>
      </c>
      <c r="C201" s="2">
        <f>F94</f>
        <v>11797</v>
      </c>
      <c r="D201" s="27" t="s">
        <v>235</v>
      </c>
      <c r="G201" s="2">
        <f>F99+F89-G46+G18-G27+G32-G45</f>
        <v>64032</v>
      </c>
      <c r="H201" s="12"/>
    </row>
    <row r="202" spans="1:8" ht="15">
      <c r="A202" s="12"/>
      <c r="B202" s="46"/>
      <c r="D202" s="27" t="s">
        <v>236</v>
      </c>
      <c r="G202" s="2">
        <f>F93</f>
        <v>4973</v>
      </c>
      <c r="H202" s="12"/>
    </row>
    <row r="203" spans="1:8" ht="15">
      <c r="A203" s="12"/>
      <c r="B203" s="46"/>
      <c r="D203" s="27" t="s">
        <v>237</v>
      </c>
      <c r="G203" s="2">
        <f>F95</f>
        <v>0</v>
      </c>
      <c r="H203" s="12"/>
    </row>
    <row r="204" spans="1:8" ht="15.75" thickBot="1">
      <c r="A204" s="12"/>
      <c r="B204" s="45" t="s">
        <v>238</v>
      </c>
      <c r="C204" s="2">
        <f>SUM(C200:C202)</f>
        <v>277897</v>
      </c>
      <c r="D204" s="27" t="s">
        <v>239</v>
      </c>
      <c r="G204" s="2">
        <f>SUM(G200:G203)</f>
        <v>252953.4446918628</v>
      </c>
      <c r="H204" s="12"/>
    </row>
    <row r="205" spans="1:7" ht="16.5" thickBot="1" thickTop="1">
      <c r="A205" s="13"/>
      <c r="B205" s="47"/>
      <c r="C205" s="13"/>
      <c r="D205" s="13"/>
      <c r="E205" s="13"/>
      <c r="F205" s="13"/>
      <c r="G205" s="13"/>
    </row>
    <row r="206" spans="1:8" ht="15.75" thickTop="1">
      <c r="A206" s="11"/>
      <c r="B206" s="44" t="s">
        <v>240</v>
      </c>
      <c r="C206" s="15">
        <f>IF(G13&lt;0,-G13,0)</f>
        <v>1148</v>
      </c>
      <c r="D206" s="26" t="s">
        <v>241</v>
      </c>
      <c r="E206" s="13"/>
      <c r="F206" s="13"/>
      <c r="G206" s="15">
        <f>IF(G13&lt;0,0,G13)</f>
        <v>0</v>
      </c>
      <c r="H206" s="12"/>
    </row>
    <row r="207" spans="1:8" ht="15">
      <c r="A207" s="12"/>
      <c r="B207" s="45" t="s">
        <v>242</v>
      </c>
      <c r="C207" s="2">
        <f>IF(G19&lt;0,-G19,0)</f>
        <v>1769</v>
      </c>
      <c r="D207" s="27" t="s">
        <v>243</v>
      </c>
      <c r="G207" s="2">
        <f>IF(G19&lt;0,0,G19)</f>
        <v>0</v>
      </c>
      <c r="H207" s="12"/>
    </row>
    <row r="208" spans="1:26" ht="15">
      <c r="A208" s="12"/>
      <c r="B208" s="45" t="s">
        <v>244</v>
      </c>
      <c r="C208" s="2">
        <f>IF(G22&lt;0,-G22,0)</f>
        <v>0</v>
      </c>
      <c r="D208" s="27" t="s">
        <v>245</v>
      </c>
      <c r="G208" s="2">
        <f>IF(G22&lt;0,0,G22)</f>
        <v>5354</v>
      </c>
      <c r="H208" s="12"/>
      <c r="X208" s="7"/>
      <c r="Z208" s="4"/>
    </row>
    <row r="209" spans="1:26" ht="15">
      <c r="A209" s="12"/>
      <c r="B209" s="45" t="s">
        <v>246</v>
      </c>
      <c r="C209" s="2">
        <f>IF(G23&lt;0,-G23,0)</f>
        <v>0</v>
      </c>
      <c r="D209" s="27" t="s">
        <v>247</v>
      </c>
      <c r="G209" s="2">
        <f>IF(G23&lt;0,0,G23)</f>
        <v>14394</v>
      </c>
      <c r="H209" s="12"/>
      <c r="Z209" s="4"/>
    </row>
    <row r="210" spans="1:26" ht="15">
      <c r="A210" s="12"/>
      <c r="B210" s="45" t="s">
        <v>248</v>
      </c>
      <c r="C210" s="2">
        <f>IF(G24&lt;0,-G24,0)</f>
        <v>0</v>
      </c>
      <c r="D210" s="27" t="s">
        <v>249</v>
      </c>
      <c r="G210" s="2">
        <f>IF(G24&lt;0,0,G24)</f>
        <v>408</v>
      </c>
      <c r="H210" s="12"/>
      <c r="V210" s="3"/>
      <c r="W210" s="3"/>
      <c r="X210" s="7"/>
      <c r="Y210" s="3"/>
      <c r="Z210" s="4"/>
    </row>
    <row r="211" spans="1:26" ht="15">
      <c r="A211" s="12"/>
      <c r="B211" s="45" t="s">
        <v>250</v>
      </c>
      <c r="C211" s="2">
        <f>IF(G25&lt;0,-G25,0)</f>
        <v>835</v>
      </c>
      <c r="D211" s="27" t="s">
        <v>251</v>
      </c>
      <c r="G211" s="2">
        <f>IF(G25&lt;0,0,G25)</f>
        <v>0</v>
      </c>
      <c r="H211" s="12"/>
      <c r="V211" s="3"/>
      <c r="W211" s="3"/>
      <c r="X211" s="7"/>
      <c r="Y211" s="3"/>
      <c r="Z211" s="4"/>
    </row>
    <row r="212" spans="1:26" ht="15">
      <c r="A212" s="12"/>
      <c r="B212" s="45" t="s">
        <v>252</v>
      </c>
      <c r="C212" s="2">
        <f>IF(G26&lt;0,-G26,0)</f>
        <v>266</v>
      </c>
      <c r="D212" s="27" t="s">
        <v>253</v>
      </c>
      <c r="G212" s="2">
        <f>IF(G26&lt;0,0,G26)</f>
        <v>0</v>
      </c>
      <c r="H212" s="12"/>
      <c r="V212" s="3"/>
      <c r="W212" s="3"/>
      <c r="X212" s="7"/>
      <c r="Y212" s="3"/>
      <c r="Z212" s="4"/>
    </row>
    <row r="213" spans="1:26" ht="15">
      <c r="A213" s="12"/>
      <c r="B213" s="45" t="s">
        <v>254</v>
      </c>
      <c r="C213" s="2">
        <f>IF(G31&lt;0,-G31,0)</f>
        <v>0</v>
      </c>
      <c r="D213" s="27" t="s">
        <v>255</v>
      </c>
      <c r="G213" s="2">
        <f>IF(G31&lt;0,0,G31)</f>
        <v>12754</v>
      </c>
      <c r="H213" s="12"/>
      <c r="X213" s="7"/>
      <c r="Z213" s="4"/>
    </row>
    <row r="214" spans="1:26" ht="15">
      <c r="A214" s="12"/>
      <c r="B214" s="45" t="s">
        <v>256</v>
      </c>
      <c r="C214" s="2">
        <f>IF((G33+G34+G35)&lt;0,-(G33+G34+G35),0)</f>
        <v>3668</v>
      </c>
      <c r="D214" s="27" t="s">
        <v>257</v>
      </c>
      <c r="G214" s="2">
        <f>IF((G33+G34+G35)&lt;0,0,G33+G34+G35)</f>
        <v>0</v>
      </c>
      <c r="H214" s="12"/>
      <c r="X214" s="7"/>
      <c r="Z214" s="4"/>
    </row>
    <row r="215" spans="1:8" ht="15">
      <c r="A215" s="12"/>
      <c r="B215" s="46"/>
      <c r="D215" s="27" t="s">
        <v>258</v>
      </c>
      <c r="G215" s="2">
        <f>G175</f>
        <v>1801.4446918628068</v>
      </c>
      <c r="H215" s="12"/>
    </row>
    <row r="216" spans="1:8" ht="15">
      <c r="A216" s="12"/>
      <c r="B216" s="46"/>
      <c r="D216" s="28"/>
      <c r="H216" s="12"/>
    </row>
    <row r="217" spans="1:8" ht="15.75" thickBot="1">
      <c r="A217" s="12"/>
      <c r="B217" s="45" t="s">
        <v>259</v>
      </c>
      <c r="C217" s="2">
        <f>SUM(C206:C215)</f>
        <v>7686</v>
      </c>
      <c r="D217" s="27" t="s">
        <v>260</v>
      </c>
      <c r="G217" s="2">
        <f>SUM(G206:G214)-G215</f>
        <v>31108.555308137195</v>
      </c>
      <c r="H217" s="12"/>
    </row>
    <row r="218" spans="1:7" ht="16.5" thickBot="1" thickTop="1">
      <c r="A218" s="13"/>
      <c r="B218" s="47"/>
      <c r="C218" s="13"/>
      <c r="D218" s="13"/>
      <c r="E218" s="13"/>
      <c r="F218" s="13"/>
      <c r="G218" s="13"/>
    </row>
    <row r="219" spans="1:8" ht="15.75" thickTop="1">
      <c r="A219" s="11"/>
      <c r="B219" s="44" t="s">
        <v>177</v>
      </c>
      <c r="C219" s="15">
        <f>IF((G41)&gt;0,(G41),0)</f>
        <v>9838</v>
      </c>
      <c r="D219" s="26" t="s">
        <v>261</v>
      </c>
      <c r="E219" s="13"/>
      <c r="F219" s="13"/>
      <c r="G219" s="15">
        <f>IF((G41)&gt;0,0,-(G41))</f>
        <v>0</v>
      </c>
      <c r="H219" s="12"/>
    </row>
    <row r="220" spans="1:8" ht="15">
      <c r="A220" s="12"/>
      <c r="B220" s="45" t="s">
        <v>262</v>
      </c>
      <c r="C220" s="2">
        <f>IF(G43&gt;0,G43,0)</f>
        <v>0</v>
      </c>
      <c r="D220" s="27" t="s">
        <v>263</v>
      </c>
      <c r="G220" s="2">
        <f>IF(G43&gt;0,0,-G43)</f>
        <v>0</v>
      </c>
      <c r="H220" s="12"/>
    </row>
    <row r="221" spans="1:8" ht="15">
      <c r="A221" s="12"/>
      <c r="B221" s="45" t="s">
        <v>264</v>
      </c>
      <c r="C221" s="2">
        <f>IF(G47&gt;0,G47,0)</f>
        <v>0</v>
      </c>
      <c r="D221" s="27" t="s">
        <v>265</v>
      </c>
      <c r="G221" s="2">
        <f>IF(G47&gt;0,0,-G47)</f>
        <v>0</v>
      </c>
      <c r="H221" s="12"/>
    </row>
    <row r="222" spans="1:8" ht="15">
      <c r="A222" s="12"/>
      <c r="B222" s="45" t="s">
        <v>210</v>
      </c>
      <c r="C222" s="2">
        <f>IF(G50&gt;0,G50,0)</f>
        <v>9206</v>
      </c>
      <c r="D222" s="27" t="s">
        <v>266</v>
      </c>
      <c r="G222" s="2">
        <f>IF(G50&gt;0,0,-G50)</f>
        <v>0</v>
      </c>
      <c r="H222" s="12"/>
    </row>
    <row r="223" spans="1:8" ht="15">
      <c r="A223" s="12"/>
      <c r="B223" s="45" t="s">
        <v>267</v>
      </c>
      <c r="C223" s="2">
        <f>IF(G51&gt;0,G51,0)</f>
        <v>0</v>
      </c>
      <c r="D223" s="27" t="s">
        <v>268</v>
      </c>
      <c r="G223" s="2">
        <f>IF(G51&gt;0,0,-G51)</f>
        <v>0</v>
      </c>
      <c r="H223" s="12"/>
    </row>
    <row r="224" spans="1:8" ht="15">
      <c r="A224" s="12"/>
      <c r="B224" s="45" t="s">
        <v>215</v>
      </c>
      <c r="C224" s="2">
        <f>IF(G52&gt;0,G52,0)</f>
        <v>934</v>
      </c>
      <c r="D224" s="27" t="s">
        <v>269</v>
      </c>
      <c r="G224" s="2">
        <f>IF(G52&gt;0,0,-G52)</f>
        <v>0</v>
      </c>
      <c r="H224" s="12"/>
    </row>
    <row r="225" spans="1:8" ht="15">
      <c r="A225" s="12"/>
      <c r="B225" s="45" t="s">
        <v>270</v>
      </c>
      <c r="C225" s="2">
        <f>IF((G53)&gt;0,+G53,0)</f>
        <v>5</v>
      </c>
      <c r="D225" s="27" t="s">
        <v>271</v>
      </c>
      <c r="G225" s="2">
        <f>IF((G53)&lt;0,-(G53),0)</f>
        <v>0</v>
      </c>
      <c r="H225" s="12"/>
    </row>
    <row r="226" spans="1:8" ht="15">
      <c r="A226" s="12"/>
      <c r="B226" s="45" t="s">
        <v>272</v>
      </c>
      <c r="C226" s="2">
        <f>IF(G30&lt;0,-G30,0)+IF(G44&gt;0,G44,0)</f>
        <v>0</v>
      </c>
      <c r="D226" s="27" t="s">
        <v>273</v>
      </c>
      <c r="G226" s="2">
        <f>IF(G30&lt;0,0,G30)+IF(G44&gt;0,0,-G44)</f>
        <v>0</v>
      </c>
      <c r="H226" s="12"/>
    </row>
    <row r="227" spans="1:8" ht="15">
      <c r="A227" s="12"/>
      <c r="B227" s="46"/>
      <c r="D227" s="28"/>
      <c r="H227" s="12"/>
    </row>
    <row r="228" spans="1:8" ht="15.75" thickBot="1">
      <c r="A228" s="12"/>
      <c r="B228" s="45" t="s">
        <v>274</v>
      </c>
      <c r="C228" s="2">
        <f>SUM(C219:C226)</f>
        <v>19983</v>
      </c>
      <c r="D228" s="27" t="s">
        <v>275</v>
      </c>
      <c r="G228" s="2">
        <f>SUM(G219:G226)</f>
        <v>0</v>
      </c>
      <c r="H228" s="12"/>
    </row>
    <row r="229" spans="1:7" ht="16.5" thickBot="1" thickTop="1">
      <c r="A229" s="13"/>
      <c r="B229" s="47"/>
      <c r="C229" s="13"/>
      <c r="D229" s="13"/>
      <c r="E229" s="13"/>
      <c r="F229" s="13"/>
      <c r="G229" s="13"/>
    </row>
    <row r="230" spans="1:8" ht="15.75" thickTop="1">
      <c r="A230" s="11"/>
      <c r="B230" s="44" t="s">
        <v>179</v>
      </c>
      <c r="C230" s="15">
        <f>IF(G59&gt;0,G59,0)</f>
        <v>1</v>
      </c>
      <c r="D230" s="26" t="s">
        <v>276</v>
      </c>
      <c r="E230" s="13"/>
      <c r="F230" s="13"/>
      <c r="G230" s="15">
        <f>IF(G59&gt;0,0,-G59)</f>
        <v>0</v>
      </c>
      <c r="H230" s="12"/>
    </row>
    <row r="231" spans="1:8" ht="15">
      <c r="A231" s="12"/>
      <c r="B231" s="45" t="s">
        <v>277</v>
      </c>
      <c r="C231" s="2">
        <f>IF(G60&gt;0,G60,0)</f>
        <v>1731</v>
      </c>
      <c r="D231" s="27" t="s">
        <v>278</v>
      </c>
      <c r="G231" s="2">
        <f>IF(G60&gt;0,0,-G60)</f>
        <v>0</v>
      </c>
      <c r="H231" s="12"/>
    </row>
    <row r="232" spans="1:8" ht="15">
      <c r="A232" s="12"/>
      <c r="B232" s="46"/>
      <c r="D232" s="27" t="s">
        <v>279</v>
      </c>
      <c r="G232" s="2">
        <f>G187</f>
        <v>13412</v>
      </c>
      <c r="H232" s="12"/>
    </row>
    <row r="233" spans="1:8" ht="15.75" thickBot="1">
      <c r="A233" s="12"/>
      <c r="B233" s="45" t="s">
        <v>280</v>
      </c>
      <c r="C233" s="2">
        <f>SUM(C230:C232)</f>
        <v>1732</v>
      </c>
      <c r="D233" s="27" t="s">
        <v>281</v>
      </c>
      <c r="G233" s="2">
        <f>SUM(G230:G232)</f>
        <v>13412</v>
      </c>
      <c r="H233" s="12"/>
    </row>
    <row r="234" spans="1:7" ht="16.5" thickBot="1" thickTop="1">
      <c r="A234" s="13"/>
      <c r="B234" s="47"/>
      <c r="C234" s="13"/>
      <c r="D234" s="13"/>
      <c r="E234" s="13"/>
      <c r="F234" s="13"/>
      <c r="G234" s="13"/>
    </row>
    <row r="235" spans="1:8" ht="16.5" thickBot="1" thickTop="1">
      <c r="A235" s="11"/>
      <c r="B235" s="44" t="s">
        <v>282</v>
      </c>
      <c r="C235" s="15">
        <f>C233+C228+C217+C204</f>
        <v>307298</v>
      </c>
      <c r="D235" s="26" t="s">
        <v>283</v>
      </c>
      <c r="E235" s="13"/>
      <c r="F235" s="13"/>
      <c r="G235" s="15">
        <f>G233+G228+G217+G204</f>
        <v>297474</v>
      </c>
      <c r="H235" s="12"/>
    </row>
    <row r="236" spans="1:32" ht="15.75" thickTop="1">
      <c r="A236" s="11"/>
      <c r="B236" s="47"/>
      <c r="C236" s="14" t="s">
        <v>284</v>
      </c>
      <c r="D236" s="13"/>
      <c r="E236" s="13"/>
      <c r="F236" s="15">
        <f>D12</f>
        <v>4408</v>
      </c>
      <c r="G236" s="13"/>
      <c r="H236" s="12"/>
      <c r="M236" s="2" t="e">
        <f>IF(SUM(G22:G26)=#VALUE!,0,0/0)</f>
        <v>#VALUE!</v>
      </c>
      <c r="X236" s="8"/>
      <c r="AF236" s="2" t="e">
        <f>IF(SUM(#VALUE!)=Z236,0,0/0)</f>
        <v>#VALUE!</v>
      </c>
    </row>
    <row r="237" spans="1:8" ht="15">
      <c r="A237" s="12"/>
      <c r="B237" s="46"/>
      <c r="C237" s="1" t="s">
        <v>285</v>
      </c>
      <c r="F237" s="2">
        <f>C235</f>
        <v>307298</v>
      </c>
      <c r="H237" s="12"/>
    </row>
    <row r="238" spans="1:8" ht="15">
      <c r="A238" s="12"/>
      <c r="B238" s="46"/>
      <c r="C238" s="1" t="s">
        <v>286</v>
      </c>
      <c r="F238" s="2">
        <f>G235</f>
        <v>297474</v>
      </c>
      <c r="H238" s="12"/>
    </row>
    <row r="239" spans="1:8" ht="15">
      <c r="A239" s="12"/>
      <c r="B239" s="46"/>
      <c r="C239" s="1" t="s">
        <v>287</v>
      </c>
      <c r="F239" s="2">
        <f>F236+F237-F238</f>
        <v>14232</v>
      </c>
      <c r="H239" s="12"/>
    </row>
    <row r="240" spans="1:8" ht="15.75" thickBot="1">
      <c r="A240" s="12"/>
      <c r="B240" s="46"/>
      <c r="C240" s="1" t="s">
        <v>288</v>
      </c>
      <c r="F240" s="2">
        <f>F12</f>
        <v>14232</v>
      </c>
      <c r="G240" s="2">
        <f>F240-F239</f>
        <v>0</v>
      </c>
      <c r="H240" s="12"/>
    </row>
    <row r="241" spans="1:7" ht="15.75" thickTop="1">
      <c r="A241" s="13"/>
      <c r="B241" s="47"/>
      <c r="C241" s="13"/>
      <c r="D241" s="13"/>
      <c r="E241" s="13"/>
      <c r="F241" s="13"/>
      <c r="G241" s="13"/>
    </row>
    <row r="242" ht="15">
      <c r="B242" s="46"/>
    </row>
    <row r="243" spans="1:2" ht="15">
      <c r="A243" s="1" t="s">
        <v>109</v>
      </c>
      <c r="B243" s="46"/>
    </row>
    <row r="244" ht="15">
      <c r="B244" s="46"/>
    </row>
    <row r="245" ht="15">
      <c r="B245" s="46"/>
    </row>
    <row r="246" ht="15.75" thickBot="1">
      <c r="B246" s="46"/>
    </row>
    <row r="247" spans="1:11" ht="15.75" thickTop="1">
      <c r="A247" s="11"/>
      <c r="B247" s="13"/>
      <c r="C247" s="13"/>
      <c r="D247" s="13"/>
      <c r="E247" s="13"/>
      <c r="F247" s="13"/>
      <c r="G247" s="13"/>
      <c r="H247" s="13"/>
      <c r="I247" s="13"/>
      <c r="J247" s="13"/>
      <c r="K247" s="12"/>
    </row>
    <row r="248" spans="1:11" ht="15.75" thickBot="1">
      <c r="A248" s="12"/>
      <c r="K248" s="12"/>
    </row>
    <row r="249" spans="1:11" ht="15.75" thickTop="1">
      <c r="A249" s="11"/>
      <c r="B249" s="13"/>
      <c r="C249" s="21"/>
      <c r="D249" s="21"/>
      <c r="E249" s="29"/>
      <c r="F249" s="13"/>
      <c r="G249" s="13"/>
      <c r="H249" s="13"/>
      <c r="I249" s="21"/>
      <c r="J249" s="13"/>
      <c r="K249" s="12"/>
    </row>
    <row r="250" spans="1:11" ht="15">
      <c r="A250" s="12"/>
      <c r="C250" s="17"/>
      <c r="D250" s="17"/>
      <c r="E250" s="28"/>
      <c r="I250" s="17"/>
      <c r="K250" s="12"/>
    </row>
    <row r="251" spans="1:11" ht="15">
      <c r="A251" s="12"/>
      <c r="C251" s="17"/>
      <c r="D251" s="17"/>
      <c r="E251" s="28"/>
      <c r="I251" s="17"/>
      <c r="K251" s="12"/>
    </row>
    <row r="252" spans="1:11" ht="15">
      <c r="A252" s="12"/>
      <c r="C252" s="17"/>
      <c r="D252" s="17"/>
      <c r="E252" s="28"/>
      <c r="I252" s="17"/>
      <c r="K252" s="12"/>
    </row>
    <row r="253" spans="1:11" ht="15">
      <c r="A253" s="12"/>
      <c r="C253" s="17"/>
      <c r="D253" s="17"/>
      <c r="E253" s="28"/>
      <c r="I253" s="17"/>
      <c r="K253" s="12"/>
    </row>
    <row r="254" spans="1:11" ht="15">
      <c r="A254" s="12"/>
      <c r="C254" s="17"/>
      <c r="D254" s="17"/>
      <c r="E254" s="28"/>
      <c r="I254" s="17"/>
      <c r="K254" s="12"/>
    </row>
    <row r="255" spans="1:11" ht="15">
      <c r="A255" s="12"/>
      <c r="C255" s="17"/>
      <c r="D255" s="17"/>
      <c r="E255" s="28"/>
      <c r="I255" s="17"/>
      <c r="K255" s="12"/>
    </row>
    <row r="256" spans="1:11" ht="15">
      <c r="A256" s="12"/>
      <c r="C256" s="17"/>
      <c r="D256" s="17"/>
      <c r="E256" s="28"/>
      <c r="I256" s="17"/>
      <c r="K256" s="12"/>
    </row>
    <row r="257" spans="1:11" ht="15">
      <c r="A257" s="12"/>
      <c r="C257" s="17"/>
      <c r="D257" s="17"/>
      <c r="E257" s="28"/>
      <c r="I257" s="17"/>
      <c r="K257" s="12"/>
    </row>
    <row r="258" spans="1:11" ht="15">
      <c r="A258" s="12"/>
      <c r="C258" s="17"/>
      <c r="D258" s="17"/>
      <c r="E258" s="28"/>
      <c r="G258" s="3"/>
      <c r="I258" s="17"/>
      <c r="K258" s="12"/>
    </row>
    <row r="259" spans="1:11" ht="15">
      <c r="A259" s="12"/>
      <c r="C259" s="17"/>
      <c r="D259" s="17"/>
      <c r="E259" s="28"/>
      <c r="G259" s="3"/>
      <c r="I259" s="17"/>
      <c r="K259" s="12"/>
    </row>
    <row r="260" spans="1:11" ht="15">
      <c r="A260" s="12"/>
      <c r="C260" s="17"/>
      <c r="D260" s="17"/>
      <c r="E260" s="28"/>
      <c r="G260" s="3"/>
      <c r="I260" s="17"/>
      <c r="K260" s="12"/>
    </row>
    <row r="261" spans="1:11" ht="15">
      <c r="A261" s="12"/>
      <c r="C261" s="17"/>
      <c r="D261" s="17"/>
      <c r="E261" s="28"/>
      <c r="I261" s="17"/>
      <c r="K261" s="12"/>
    </row>
    <row r="262" spans="1:11" ht="15">
      <c r="A262" s="12"/>
      <c r="C262" s="17"/>
      <c r="D262" s="17"/>
      <c r="E262" s="28"/>
      <c r="I262" s="17"/>
      <c r="K262" s="12"/>
    </row>
    <row r="263" spans="1:11" ht="15">
      <c r="A263" s="12"/>
      <c r="C263" s="17"/>
      <c r="D263" s="17"/>
      <c r="E263" s="28"/>
      <c r="I263" s="17"/>
      <c r="K263" s="12"/>
    </row>
    <row r="264" spans="1:11" ht="15">
      <c r="A264" s="12"/>
      <c r="C264" s="17"/>
      <c r="D264" s="17"/>
      <c r="E264" s="28"/>
      <c r="I264" s="17"/>
      <c r="K264" s="12"/>
    </row>
    <row r="265" spans="1:11" ht="15">
      <c r="A265" s="12"/>
      <c r="C265" s="17"/>
      <c r="D265" s="17"/>
      <c r="E265" s="28"/>
      <c r="I265" s="17"/>
      <c r="K265" s="12"/>
    </row>
    <row r="266" spans="1:11" ht="15">
      <c r="A266" s="12"/>
      <c r="C266" s="17"/>
      <c r="D266" s="17"/>
      <c r="E266" s="28"/>
      <c r="I266" s="17"/>
      <c r="K266" s="12"/>
    </row>
    <row r="267" spans="1:11" ht="15">
      <c r="A267" s="12"/>
      <c r="C267" s="17"/>
      <c r="D267" s="17"/>
      <c r="E267" s="28"/>
      <c r="I267" s="17"/>
      <c r="K267" s="12"/>
    </row>
    <row r="268" spans="1:11" ht="15">
      <c r="A268" s="12"/>
      <c r="C268" s="17"/>
      <c r="D268" s="17"/>
      <c r="E268" s="28"/>
      <c r="I268" s="17"/>
      <c r="K268" s="12"/>
    </row>
    <row r="269" spans="1:11" ht="15">
      <c r="A269" s="12"/>
      <c r="C269" s="17"/>
      <c r="D269" s="17"/>
      <c r="E269" s="28"/>
      <c r="I269" s="17"/>
      <c r="K269" s="12"/>
    </row>
    <row r="270" spans="1:11" ht="15">
      <c r="A270" s="12"/>
      <c r="C270" s="17"/>
      <c r="D270" s="17"/>
      <c r="E270" s="28"/>
      <c r="I270" s="17"/>
      <c r="K270" s="12"/>
    </row>
    <row r="271" spans="1:11" ht="15">
      <c r="A271" s="12"/>
      <c r="C271" s="17"/>
      <c r="D271" s="17"/>
      <c r="E271" s="28"/>
      <c r="I271" s="17"/>
      <c r="K271" s="12"/>
    </row>
    <row r="272" spans="1:11" ht="15">
      <c r="A272" s="12"/>
      <c r="C272" s="17"/>
      <c r="D272" s="17"/>
      <c r="E272" s="28"/>
      <c r="I272" s="17"/>
      <c r="K272" s="12"/>
    </row>
    <row r="273" spans="1:11" ht="15">
      <c r="A273" s="12"/>
      <c r="C273" s="17"/>
      <c r="D273" s="17"/>
      <c r="E273" s="28"/>
      <c r="I273" s="17"/>
      <c r="K273" s="12"/>
    </row>
    <row r="274" spans="1:11" ht="15">
      <c r="A274" s="12"/>
      <c r="C274" s="17"/>
      <c r="D274" s="17"/>
      <c r="E274" s="28"/>
      <c r="I274" s="17"/>
      <c r="K274" s="12"/>
    </row>
    <row r="275" spans="1:11" ht="15">
      <c r="A275" s="12"/>
      <c r="C275" s="17"/>
      <c r="D275" s="17"/>
      <c r="E275" s="28"/>
      <c r="I275" s="17"/>
      <c r="K275" s="12"/>
    </row>
    <row r="276" spans="1:11" ht="15.75" thickBot="1">
      <c r="A276" s="12"/>
      <c r="C276" s="17"/>
      <c r="D276" s="17"/>
      <c r="E276" s="28"/>
      <c r="I276" s="17"/>
      <c r="K276" s="12"/>
    </row>
    <row r="277" spans="1:10" ht="16.5" thickBot="1" thickTop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1" ht="15.75" thickTop="1">
      <c r="A278" s="11"/>
      <c r="B278" s="13"/>
      <c r="C278" s="21"/>
      <c r="D278" s="21"/>
      <c r="E278" s="29"/>
      <c r="F278" s="13"/>
      <c r="G278" s="13"/>
      <c r="H278" s="24"/>
      <c r="I278" s="24"/>
      <c r="J278" s="13"/>
      <c r="K278" s="12"/>
    </row>
    <row r="279" spans="1:11" ht="15">
      <c r="A279" s="12"/>
      <c r="C279" s="17"/>
      <c r="D279" s="17"/>
      <c r="E279" s="28"/>
      <c r="H279" s="17"/>
      <c r="I279" s="17"/>
      <c r="K279" s="12"/>
    </row>
    <row r="280" spans="1:11" ht="15">
      <c r="A280" s="12"/>
      <c r="C280" s="17"/>
      <c r="D280" s="17"/>
      <c r="E280" s="28"/>
      <c r="H280" s="23"/>
      <c r="I280" s="23"/>
      <c r="K280" s="12"/>
    </row>
    <row r="281" spans="1:11" ht="15">
      <c r="A281" s="12"/>
      <c r="C281" s="17"/>
      <c r="D281" s="17"/>
      <c r="E281" s="28"/>
      <c r="H281" s="23"/>
      <c r="I281" s="23"/>
      <c r="K281" s="12"/>
    </row>
    <row r="282" spans="1:11" ht="15">
      <c r="A282" s="12"/>
      <c r="C282" s="17"/>
      <c r="D282" s="17"/>
      <c r="E282" s="28"/>
      <c r="H282" s="23"/>
      <c r="I282" s="23"/>
      <c r="K282" s="12"/>
    </row>
    <row r="283" spans="1:11" ht="15">
      <c r="A283" s="12"/>
      <c r="C283" s="17"/>
      <c r="D283" s="17"/>
      <c r="E283" s="28"/>
      <c r="H283" s="23"/>
      <c r="I283" s="23"/>
      <c r="K283" s="12"/>
    </row>
    <row r="284" spans="1:11" ht="15">
      <c r="A284" s="12"/>
      <c r="C284" s="17"/>
      <c r="D284" s="17"/>
      <c r="E284" s="28"/>
      <c r="H284" s="23"/>
      <c r="I284" s="23"/>
      <c r="K284" s="12"/>
    </row>
    <row r="285" spans="1:11" ht="15">
      <c r="A285" s="12"/>
      <c r="C285" s="17"/>
      <c r="D285" s="17"/>
      <c r="E285" s="28"/>
      <c r="H285" s="17"/>
      <c r="I285" s="17"/>
      <c r="K285" s="12"/>
    </row>
    <row r="286" spans="1:11" ht="15">
      <c r="A286" s="12"/>
      <c r="C286" s="17"/>
      <c r="D286" s="17"/>
      <c r="E286" s="28"/>
      <c r="H286" s="17"/>
      <c r="I286" s="17"/>
      <c r="K286" s="12"/>
    </row>
    <row r="287" spans="1:11" ht="15">
      <c r="A287" s="12"/>
      <c r="C287" s="17"/>
      <c r="D287" s="17"/>
      <c r="E287" s="28"/>
      <c r="H287" s="17"/>
      <c r="I287" s="17"/>
      <c r="K287" s="12"/>
    </row>
    <row r="288" spans="1:11" ht="15">
      <c r="A288" s="12"/>
      <c r="C288" s="17"/>
      <c r="D288" s="17"/>
      <c r="E288" s="28"/>
      <c r="H288" s="17"/>
      <c r="I288" s="17"/>
      <c r="K288" s="12"/>
    </row>
    <row r="289" spans="1:11" ht="15">
      <c r="A289" s="12"/>
      <c r="C289" s="17"/>
      <c r="D289" s="17"/>
      <c r="E289" s="28"/>
      <c r="H289" s="17"/>
      <c r="I289" s="17"/>
      <c r="K289" s="12"/>
    </row>
    <row r="290" spans="1:11" ht="15">
      <c r="A290" s="12"/>
      <c r="C290" s="17"/>
      <c r="D290" s="17"/>
      <c r="E290" s="28"/>
      <c r="H290" s="25"/>
      <c r="I290" s="25"/>
      <c r="K290" s="12"/>
    </row>
    <row r="291" spans="1:11" ht="15">
      <c r="A291" s="12"/>
      <c r="C291" s="17"/>
      <c r="D291" s="17"/>
      <c r="E291" s="28"/>
      <c r="H291" s="17"/>
      <c r="I291" s="17"/>
      <c r="K291" s="12"/>
    </row>
    <row r="292" spans="1:11" ht="15">
      <c r="A292" s="12"/>
      <c r="C292" s="17"/>
      <c r="D292" s="17"/>
      <c r="E292" s="28"/>
      <c r="H292" s="25"/>
      <c r="I292" s="25"/>
      <c r="K292" s="12"/>
    </row>
    <row r="293" spans="1:11" ht="15">
      <c r="A293" s="12"/>
      <c r="C293" s="17"/>
      <c r="D293" s="17"/>
      <c r="E293" s="28"/>
      <c r="H293" s="17"/>
      <c r="I293" s="17"/>
      <c r="K293" s="12"/>
    </row>
    <row r="294" spans="1:11" ht="15">
      <c r="A294" s="12"/>
      <c r="C294" s="17"/>
      <c r="D294" s="17"/>
      <c r="E294" s="28"/>
      <c r="H294" s="25"/>
      <c r="I294" s="25"/>
      <c r="K294" s="12"/>
    </row>
    <row r="295" spans="1:11" ht="15">
      <c r="A295" s="12"/>
      <c r="C295" s="17"/>
      <c r="D295" s="17"/>
      <c r="E295" s="28"/>
      <c r="H295" s="25"/>
      <c r="I295" s="25"/>
      <c r="K295" s="12"/>
    </row>
    <row r="296" spans="1:24" ht="15">
      <c r="A296" s="12"/>
      <c r="C296" s="17"/>
      <c r="D296" s="17"/>
      <c r="E296" s="28"/>
      <c r="H296" s="25"/>
      <c r="I296" s="25"/>
      <c r="K296" s="12"/>
      <c r="X296" s="8"/>
    </row>
    <row r="297" spans="1:11" ht="15">
      <c r="A297" s="12"/>
      <c r="C297" s="17"/>
      <c r="D297" s="17"/>
      <c r="E297" s="28"/>
      <c r="K297" s="12"/>
    </row>
    <row r="298" spans="1:11" ht="15.75" thickBot="1">
      <c r="A298" s="12"/>
      <c r="C298" s="17"/>
      <c r="D298" s="17"/>
      <c r="E298" s="28"/>
      <c r="H298" s="25"/>
      <c r="I298" s="25"/>
      <c r="K298" s="12"/>
    </row>
    <row r="299" spans="1:10" ht="15.75" thickTop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7" spans="23:27" ht="15">
      <c r="W307" s="7"/>
      <c r="Y307" s="7"/>
      <c r="AA307" s="7"/>
    </row>
    <row r="310" spans="23:27" ht="15">
      <c r="W310" s="7"/>
      <c r="Y310" s="7"/>
      <c r="AA310" s="7"/>
    </row>
    <row r="312" spans="23:27" ht="15">
      <c r="W312" s="8"/>
      <c r="Y312" s="8"/>
      <c r="AA312" s="8"/>
    </row>
    <row r="314" spans="23:27" ht="15">
      <c r="W314" s="8"/>
      <c r="Y314" s="8"/>
      <c r="AA314" s="8"/>
    </row>
    <row r="316" spans="23:27" ht="15">
      <c r="W316" s="7"/>
      <c r="Y316" s="7"/>
      <c r="AA316" s="7"/>
    </row>
    <row r="318" spans="23:27" ht="15">
      <c r="W318" s="7"/>
      <c r="Y318" s="7"/>
      <c r="AA318" s="7"/>
    </row>
    <row r="320" spans="23:27" ht="15">
      <c r="W320" s="7"/>
      <c r="Y320" s="7"/>
      <c r="AA320" s="7"/>
    </row>
    <row r="322" spans="23:27" ht="15">
      <c r="W322" s="7"/>
      <c r="Y322" s="7"/>
      <c r="AA322" s="7"/>
    </row>
    <row r="324" spans="23:27" ht="15">
      <c r="W324" s="7"/>
      <c r="Y324" s="7"/>
      <c r="AA324" s="7"/>
    </row>
    <row r="326" spans="23:27" ht="15">
      <c r="W326" s="7"/>
      <c r="Y326" s="7"/>
      <c r="AA326" s="7"/>
    </row>
    <row r="328" spans="23:27" ht="15">
      <c r="W328" s="7"/>
      <c r="Y328" s="7"/>
      <c r="AA328" s="7"/>
    </row>
    <row r="427" spans="21:43" ht="15">
      <c r="U427" s="2" t="e">
        <f>IF(#VALUE!=#VALUE!,0,0/0)</f>
        <v>#VALUE!</v>
      </c>
      <c r="AQ427" s="2">
        <f>IF(AK427=AJ377,0,0/0)</f>
        <v>0</v>
      </c>
    </row>
    <row r="439" spans="21:43" ht="15">
      <c r="U439" s="2" t="e">
        <f>IF(SUM(#VALUE!)=#VALUE!,0,0/0)</f>
        <v>#VALUE!</v>
      </c>
      <c r="AQ439" s="2">
        <f>IF(SUM(AK334:AK338)=AK439,0,0/0)</f>
        <v>0</v>
      </c>
    </row>
  </sheetData>
  <printOptions horizontalCentered="1" verticalCentered="1"/>
  <pageMargins left="0.1968503937007874" right="0.1968503937007874" top="0.78" bottom="0.79" header="0.5118110236220472" footer="0.5118110236220472"/>
  <pageSetup blackAndWhite="1" horizontalDpi="300" verticalDpi="300" orientation="portrait" scale="60" r:id="rId1"/>
  <headerFooter alignWithMargins="0">
    <oddHeader>&amp;CRESUMEN FINANCIERO</oddHeader>
  </headerFooter>
  <rowBreaks count="4" manualBreakCount="4">
    <brk id="102" max="65535" man="1"/>
    <brk id="149" max="65535" man="1"/>
    <brk id="195" max="65535" man="1"/>
    <brk id="2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Victoria Saldarriaga Fe</dc:creator>
  <cp:keywords/>
  <dc:description/>
  <cp:lastModifiedBy>Fernando Franco</cp:lastModifiedBy>
  <cp:lastPrinted>1999-08-31T20:52:09Z</cp:lastPrinted>
  <dcterms:created xsi:type="dcterms:W3CDTF">2000-07-28T05:32:59Z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